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hidePivotFieldList="1" defaultThemeVersion="124226"/>
  <mc:AlternateContent xmlns:mc="http://schemas.openxmlformats.org/markup-compatibility/2006">
    <mc:Choice Requires="x15">
      <x15ac:absPath xmlns:x15ac="http://schemas.microsoft.com/office/spreadsheetml/2010/11/ac" url="/Users/user/Documents/ORTEGA COMPLIANCE/GRUPO BICENTENARIO/MATRIZ DE RIESGOS/"/>
    </mc:Choice>
  </mc:AlternateContent>
  <xr:revisionPtr revIDLastSave="0" documentId="8_{1C238F4F-BD73-1D4C-865A-CA1E848B5A87}" xr6:coauthVersionLast="47" xr6:coauthVersionMax="47" xr10:uidLastSave="{00000000-0000-0000-0000-000000000000}"/>
  <bookViews>
    <workbookView xWindow="0" yWindow="500" windowWidth="28800" windowHeight="15800"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3" i="1" l="1"/>
  <c r="A125" i="1"/>
  <c r="A89" i="1"/>
  <c r="A82" i="1"/>
  <c r="A16" i="1"/>
  <c r="T192" i="1" l="1"/>
  <c r="T185" i="1"/>
  <c r="T180" i="1"/>
  <c r="T150" i="1"/>
  <c r="T149" i="1"/>
  <c r="T134" i="1"/>
  <c r="T135" i="1"/>
  <c r="T126" i="1"/>
  <c r="T125" i="1"/>
  <c r="T91" i="1" l="1"/>
  <c r="T90" i="1"/>
  <c r="T89" i="1" l="1"/>
  <c r="T77" i="1"/>
  <c r="T76" i="1"/>
  <c r="T70" i="1"/>
  <c r="T64" i="1"/>
  <c r="T52" i="1"/>
  <c r="T16" i="1"/>
  <c r="K220" i="1" l="1"/>
  <c r="K219" i="1"/>
  <c r="K218" i="1"/>
  <c r="T217" i="1"/>
  <c r="Q217" i="1"/>
  <c r="K217" i="1"/>
  <c r="T216" i="1"/>
  <c r="Q216" i="1"/>
  <c r="K216" i="1"/>
  <c r="T215" i="1"/>
  <c r="Q215" i="1"/>
  <c r="H215" i="1"/>
  <c r="I215" i="1" s="1"/>
  <c r="K214" i="1"/>
  <c r="K213" i="1"/>
  <c r="K212" i="1"/>
  <c r="T211" i="1"/>
  <c r="Q211" i="1"/>
  <c r="K211" i="1"/>
  <c r="T210" i="1"/>
  <c r="Q210" i="1"/>
  <c r="K210" i="1"/>
  <c r="T209" i="1"/>
  <c r="Q209" i="1"/>
  <c r="H209" i="1"/>
  <c r="I209" i="1" s="1"/>
  <c r="K208" i="1"/>
  <c r="K207" i="1"/>
  <c r="K206" i="1"/>
  <c r="T205" i="1"/>
  <c r="Q205" i="1"/>
  <c r="K205" i="1"/>
  <c r="T204" i="1"/>
  <c r="Q204" i="1"/>
  <c r="K204" i="1"/>
  <c r="T203" i="1"/>
  <c r="Q203" i="1"/>
  <c r="H203" i="1"/>
  <c r="I203" i="1" s="1"/>
  <c r="T201" i="1"/>
  <c r="Q201" i="1"/>
  <c r="T200" i="1"/>
  <c r="Q200" i="1"/>
  <c r="T199" i="1"/>
  <c r="Q199" i="1"/>
  <c r="T198" i="1"/>
  <c r="Q198" i="1"/>
  <c r="T197" i="1"/>
  <c r="Q197" i="1"/>
  <c r="K202" i="1"/>
  <c r="K201" i="1"/>
  <c r="K200" i="1"/>
  <c r="K199" i="1"/>
  <c r="K198" i="1"/>
  <c r="H197" i="1"/>
  <c r="K196" i="1"/>
  <c r="K195" i="1"/>
  <c r="K194" i="1"/>
  <c r="T193" i="1"/>
  <c r="Q193" i="1"/>
  <c r="K193" i="1"/>
  <c r="Q192" i="1"/>
  <c r="K192" i="1"/>
  <c r="T191" i="1"/>
  <c r="Q191" i="1"/>
  <c r="H191" i="1"/>
  <c r="I191" i="1" s="1"/>
  <c r="K190" i="1"/>
  <c r="K189" i="1"/>
  <c r="K188" i="1"/>
  <c r="T187" i="1"/>
  <c r="Q187" i="1"/>
  <c r="K187" i="1"/>
  <c r="T186" i="1"/>
  <c r="Q186" i="1"/>
  <c r="K186" i="1"/>
  <c r="Q185" i="1"/>
  <c r="H185" i="1"/>
  <c r="I185" i="1" s="1"/>
  <c r="K184" i="1"/>
  <c r="K183" i="1"/>
  <c r="K182" i="1"/>
  <c r="T181" i="1"/>
  <c r="Q181" i="1"/>
  <c r="K181" i="1"/>
  <c r="Q180" i="1"/>
  <c r="K180" i="1"/>
  <c r="T179" i="1"/>
  <c r="Q179" i="1"/>
  <c r="H179" i="1"/>
  <c r="K178" i="1"/>
  <c r="K177" i="1"/>
  <c r="K176" i="1"/>
  <c r="T175" i="1"/>
  <c r="Q175" i="1"/>
  <c r="K175" i="1"/>
  <c r="T174" i="1"/>
  <c r="Q174" i="1"/>
  <c r="K174" i="1"/>
  <c r="T173" i="1"/>
  <c r="Q173" i="1"/>
  <c r="H173" i="1"/>
  <c r="I173" i="1" s="1"/>
  <c r="K172" i="1"/>
  <c r="K171" i="1"/>
  <c r="K170" i="1"/>
  <c r="T169" i="1"/>
  <c r="Q169" i="1"/>
  <c r="K169" i="1"/>
  <c r="T168" i="1"/>
  <c r="Q168" i="1"/>
  <c r="K168" i="1"/>
  <c r="T167" i="1"/>
  <c r="Q167" i="1"/>
  <c r="H167" i="1"/>
  <c r="I167" i="1" s="1"/>
  <c r="Q163" i="1"/>
  <c r="T163" i="1"/>
  <c r="K166" i="1"/>
  <c r="K165" i="1"/>
  <c r="K164" i="1"/>
  <c r="K163" i="1"/>
  <c r="T162" i="1"/>
  <c r="Q162" i="1"/>
  <c r="K162" i="1"/>
  <c r="T161" i="1"/>
  <c r="Q161" i="1"/>
  <c r="H161" i="1"/>
  <c r="I161" i="1" s="1"/>
  <c r="K160" i="1"/>
  <c r="K159" i="1"/>
  <c r="K158" i="1"/>
  <c r="K157" i="1"/>
  <c r="Q156" i="1"/>
  <c r="K156" i="1"/>
  <c r="T155" i="1"/>
  <c r="Q155" i="1"/>
  <c r="H155" i="1"/>
  <c r="I155" i="1" s="1"/>
  <c r="Q150" i="1"/>
  <c r="Q149" i="1"/>
  <c r="K154" i="1"/>
  <c r="K153" i="1"/>
  <c r="K152" i="1"/>
  <c r="K151" i="1"/>
  <c r="K150" i="1"/>
  <c r="H149" i="1"/>
  <c r="I149" i="1" s="1"/>
  <c r="T148" i="1"/>
  <c r="Q148" i="1"/>
  <c r="K148" i="1"/>
  <c r="T147" i="1"/>
  <c r="Q147" i="1"/>
  <c r="K147" i="1"/>
  <c r="T146" i="1"/>
  <c r="Q146" i="1"/>
  <c r="K146" i="1"/>
  <c r="T145" i="1"/>
  <c r="Q145" i="1"/>
  <c r="K145" i="1"/>
  <c r="T144" i="1"/>
  <c r="Q144" i="1"/>
  <c r="K144" i="1"/>
  <c r="T143" i="1"/>
  <c r="Q143" i="1"/>
  <c r="H143" i="1"/>
  <c r="I143" i="1" s="1"/>
  <c r="T142" i="1"/>
  <c r="Q142" i="1"/>
  <c r="K142" i="1"/>
  <c r="T141" i="1"/>
  <c r="Q141" i="1"/>
  <c r="K141" i="1"/>
  <c r="T140" i="1"/>
  <c r="Q140" i="1"/>
  <c r="K140" i="1"/>
  <c r="T139" i="1"/>
  <c r="Q139" i="1"/>
  <c r="K139" i="1"/>
  <c r="Q138" i="1"/>
  <c r="K138" i="1"/>
  <c r="Q137" i="1"/>
  <c r="H137" i="1"/>
  <c r="I137" i="1" s="1"/>
  <c r="T136" i="1"/>
  <c r="Q136" i="1"/>
  <c r="K136" i="1"/>
  <c r="Q135" i="1"/>
  <c r="K135" i="1"/>
  <c r="Q134" i="1"/>
  <c r="K134" i="1"/>
  <c r="T133" i="1"/>
  <c r="Q133" i="1"/>
  <c r="K133" i="1"/>
  <c r="T132" i="1"/>
  <c r="Q132" i="1"/>
  <c r="K132" i="1"/>
  <c r="T131" i="1"/>
  <c r="Q131" i="1"/>
  <c r="H131" i="1"/>
  <c r="X210" i="1" l="1"/>
  <c r="Z210" i="1" s="1"/>
  <c r="AB217" i="1"/>
  <c r="AA217" i="1" s="1"/>
  <c r="AB205" i="1"/>
  <c r="AA205" i="1" s="1"/>
  <c r="X211" i="1"/>
  <c r="Z211" i="1" s="1"/>
  <c r="X217" i="1"/>
  <c r="X215" i="1"/>
  <c r="X205" i="1"/>
  <c r="Y205" i="1" s="1"/>
  <c r="AB211" i="1"/>
  <c r="AA211" i="1" s="1"/>
  <c r="AB210" i="1"/>
  <c r="AA210" i="1" s="1"/>
  <c r="X209" i="1"/>
  <c r="X203" i="1"/>
  <c r="AB145" i="1"/>
  <c r="AA145" i="1" s="1"/>
  <c r="X193" i="1"/>
  <c r="Z193" i="1" s="1"/>
  <c r="AB142" i="1"/>
  <c r="AA142" i="1" s="1"/>
  <c r="X143" i="1"/>
  <c r="Z143" i="1" s="1"/>
  <c r="X144" i="1" s="1"/>
  <c r="X146" i="1"/>
  <c r="Z146" i="1" s="1"/>
  <c r="X148" i="1"/>
  <c r="Y148" i="1" s="1"/>
  <c r="X187" i="1"/>
  <c r="Z187" i="1" s="1"/>
  <c r="AB147" i="1"/>
  <c r="AA147" i="1" s="1"/>
  <c r="X167" i="1"/>
  <c r="Z167" i="1" s="1"/>
  <c r="X168" i="1" s="1"/>
  <c r="X191" i="1"/>
  <c r="Y191" i="1" s="1"/>
  <c r="X137" i="1"/>
  <c r="Y137" i="1" s="1"/>
  <c r="AB146" i="1"/>
  <c r="AA146" i="1" s="1"/>
  <c r="AB148" i="1"/>
  <c r="AA148" i="1" s="1"/>
  <c r="AB136" i="1"/>
  <c r="AA136" i="1" s="1"/>
  <c r="X145" i="1"/>
  <c r="Z145" i="1" s="1"/>
  <c r="X147" i="1"/>
  <c r="Z147" i="1" s="1"/>
  <c r="X155" i="1"/>
  <c r="Z155" i="1" s="1"/>
  <c r="X156" i="1" s="1"/>
  <c r="I197" i="1"/>
  <c r="X197" i="1" s="1"/>
  <c r="AB193" i="1"/>
  <c r="AA193" i="1" s="1"/>
  <c r="X185" i="1"/>
  <c r="Y185" i="1" s="1"/>
  <c r="AB187" i="1"/>
  <c r="AA187" i="1" s="1"/>
  <c r="I179" i="1"/>
  <c r="X179" i="1" s="1"/>
  <c r="Y179" i="1" s="1"/>
  <c r="X173" i="1"/>
  <c r="X161" i="1"/>
  <c r="X149" i="1"/>
  <c r="X142" i="1"/>
  <c r="I131" i="1"/>
  <c r="X131" i="1" s="1"/>
  <c r="X136" i="1"/>
  <c r="Y210" i="1" l="1"/>
  <c r="AC210" i="1" s="1"/>
  <c r="AC205" i="1"/>
  <c r="Y193" i="1"/>
  <c r="AC193" i="1" s="1"/>
  <c r="Z148" i="1"/>
  <c r="Y211" i="1"/>
  <c r="AC211" i="1" s="1"/>
  <c r="Y215" i="1"/>
  <c r="Z215" i="1"/>
  <c r="X216" i="1" s="1"/>
  <c r="Z217" i="1"/>
  <c r="Y217" i="1"/>
  <c r="AC217" i="1" s="1"/>
  <c r="Z205" i="1"/>
  <c r="Z209" i="1"/>
  <c r="Y209" i="1"/>
  <c r="Y203" i="1"/>
  <c r="Z203" i="1"/>
  <c r="X204" i="1" s="1"/>
  <c r="Y146" i="1"/>
  <c r="AC146" i="1" s="1"/>
  <c r="Z137" i="1"/>
  <c r="X138" i="1" s="1"/>
  <c r="Y138" i="1" s="1"/>
  <c r="Y155" i="1"/>
  <c r="Y167" i="1"/>
  <c r="Y187" i="1"/>
  <c r="AC187" i="1" s="1"/>
  <c r="Y143" i="1"/>
  <c r="Z191" i="1"/>
  <c r="X192" i="1" s="1"/>
  <c r="Y192" i="1" s="1"/>
  <c r="AC148" i="1"/>
  <c r="Y145" i="1"/>
  <c r="AC145" i="1" s="1"/>
  <c r="Y147" i="1"/>
  <c r="AC147" i="1" s="1"/>
  <c r="Y197" i="1"/>
  <c r="Z197" i="1"/>
  <c r="X198" i="1" s="1"/>
  <c r="Z185" i="1"/>
  <c r="X186" i="1" s="1"/>
  <c r="Y186" i="1" s="1"/>
  <c r="Z179" i="1"/>
  <c r="X180" i="1" s="1"/>
  <c r="Y180" i="1" s="1"/>
  <c r="Y173" i="1"/>
  <c r="Z173" i="1"/>
  <c r="X174" i="1" s="1"/>
  <c r="Z168" i="1"/>
  <c r="X169" i="1" s="1"/>
  <c r="Y168" i="1"/>
  <c r="Z161" i="1"/>
  <c r="X162" i="1" s="1"/>
  <c r="Y161" i="1"/>
  <c r="Y156" i="1"/>
  <c r="Z156" i="1"/>
  <c r="Z149" i="1"/>
  <c r="X150" i="1" s="1"/>
  <c r="Y149" i="1"/>
  <c r="Y144" i="1"/>
  <c r="Z144" i="1"/>
  <c r="AB139" i="1"/>
  <c r="AA139" i="1" s="1"/>
  <c r="Z142" i="1"/>
  <c r="Y142" i="1"/>
  <c r="AC142" i="1" s="1"/>
  <c r="Z131" i="1"/>
  <c r="X132" i="1" s="1"/>
  <c r="Y131" i="1"/>
  <c r="Z136" i="1"/>
  <c r="Y136" i="1"/>
  <c r="AC136" i="1" s="1"/>
  <c r="Z192" i="1" l="1"/>
  <c r="Z138" i="1"/>
  <c r="X139" i="1" s="1"/>
  <c r="Y139" i="1" s="1"/>
  <c r="AC139" i="1" s="1"/>
  <c r="Z216" i="1"/>
  <c r="Y216" i="1"/>
  <c r="Z204" i="1"/>
  <c r="Y204" i="1"/>
  <c r="Z186" i="1"/>
  <c r="Y198" i="1"/>
  <c r="Z198" i="1"/>
  <c r="X199" i="1" s="1"/>
  <c r="Z180" i="1"/>
  <c r="X181" i="1" s="1"/>
  <c r="Y181" i="1" s="1"/>
  <c r="AB181" i="1"/>
  <c r="AA181" i="1" s="1"/>
  <c r="Y174" i="1"/>
  <c r="Z174" i="1"/>
  <c r="X175" i="1" s="1"/>
  <c r="Z169" i="1"/>
  <c r="Y169" i="1"/>
  <c r="Y162" i="1"/>
  <c r="Z162" i="1"/>
  <c r="X163" i="1" s="1"/>
  <c r="Z150" i="1"/>
  <c r="Y150" i="1"/>
  <c r="AB140" i="1"/>
  <c r="AB141" i="1" s="1"/>
  <c r="AA141" i="1" s="1"/>
  <c r="Y132" i="1"/>
  <c r="Z132" i="1"/>
  <c r="X133" i="1" s="1"/>
  <c r="Z139" i="1" l="1"/>
  <c r="X140" i="1" s="1"/>
  <c r="Z140" i="1" s="1"/>
  <c r="X141" i="1" s="1"/>
  <c r="Z163" i="1"/>
  <c r="Y163" i="1"/>
  <c r="Z199" i="1"/>
  <c r="X200" i="1" s="1"/>
  <c r="Y199" i="1"/>
  <c r="Z181" i="1"/>
  <c r="AC181" i="1"/>
  <c r="Z175" i="1"/>
  <c r="Y175" i="1"/>
  <c r="AA140" i="1"/>
  <c r="Z133" i="1"/>
  <c r="X134" i="1" s="1"/>
  <c r="Y133" i="1"/>
  <c r="Y140" i="1" l="1"/>
  <c r="AC140" i="1" s="1"/>
  <c r="Y200" i="1"/>
  <c r="Z200" i="1"/>
  <c r="X201" i="1" s="1"/>
  <c r="Z141" i="1"/>
  <c r="Y141" i="1"/>
  <c r="AC141" i="1" s="1"/>
  <c r="Z134" i="1"/>
  <c r="X135" i="1" s="1"/>
  <c r="Y134" i="1"/>
  <c r="Y201" i="1" l="1"/>
  <c r="Z201" i="1"/>
  <c r="Y135" i="1"/>
  <c r="Z135" i="1"/>
  <c r="T127" i="1" l="1"/>
  <c r="T130" i="1"/>
  <c r="Q130" i="1"/>
  <c r="K130" i="1"/>
  <c r="T129" i="1"/>
  <c r="Q129" i="1"/>
  <c r="K129" i="1"/>
  <c r="T128" i="1"/>
  <c r="Q128" i="1"/>
  <c r="K128" i="1"/>
  <c r="Q127" i="1"/>
  <c r="K127" i="1"/>
  <c r="Q126" i="1"/>
  <c r="K126" i="1"/>
  <c r="Q125" i="1"/>
  <c r="H125" i="1"/>
  <c r="I125" i="1" s="1"/>
  <c r="T124" i="1"/>
  <c r="Q124" i="1"/>
  <c r="K124" i="1"/>
  <c r="T123" i="1"/>
  <c r="Q123" i="1"/>
  <c r="K123" i="1"/>
  <c r="T122" i="1"/>
  <c r="Q122" i="1"/>
  <c r="K122" i="1"/>
  <c r="T121" i="1"/>
  <c r="Q121" i="1"/>
  <c r="K121" i="1"/>
  <c r="T120" i="1"/>
  <c r="Q120" i="1"/>
  <c r="K120" i="1"/>
  <c r="T119" i="1"/>
  <c r="Q119" i="1"/>
  <c r="H119" i="1"/>
  <c r="I119" i="1" s="1"/>
  <c r="T118" i="1"/>
  <c r="Q118" i="1"/>
  <c r="K118" i="1"/>
  <c r="T117" i="1"/>
  <c r="Q117" i="1"/>
  <c r="K117" i="1"/>
  <c r="T116" i="1"/>
  <c r="Q116" i="1"/>
  <c r="K116" i="1"/>
  <c r="T115" i="1"/>
  <c r="Q115" i="1"/>
  <c r="K115" i="1"/>
  <c r="T114" i="1"/>
  <c r="Q114" i="1"/>
  <c r="K114" i="1"/>
  <c r="T113" i="1"/>
  <c r="Q113" i="1"/>
  <c r="H113" i="1"/>
  <c r="I113" i="1" s="1"/>
  <c r="Q112" i="1"/>
  <c r="T112" i="1"/>
  <c r="T111" i="1"/>
  <c r="Q111" i="1"/>
  <c r="T110" i="1"/>
  <c r="Q110" i="1"/>
  <c r="K112" i="1"/>
  <c r="K111" i="1"/>
  <c r="K110" i="1"/>
  <c r="T109" i="1"/>
  <c r="Q109" i="1"/>
  <c r="K109" i="1"/>
  <c r="T108" i="1"/>
  <c r="Q108" i="1"/>
  <c r="K108" i="1"/>
  <c r="T107" i="1"/>
  <c r="Q107" i="1"/>
  <c r="H107" i="1"/>
  <c r="I107" i="1" s="1"/>
  <c r="T106" i="1"/>
  <c r="Q106" i="1"/>
  <c r="K106" i="1"/>
  <c r="T105" i="1"/>
  <c r="Q105" i="1"/>
  <c r="K105" i="1"/>
  <c r="T104" i="1"/>
  <c r="Q104" i="1"/>
  <c r="K104" i="1"/>
  <c r="T103" i="1"/>
  <c r="Q103" i="1"/>
  <c r="K103" i="1"/>
  <c r="T102" i="1"/>
  <c r="Q102" i="1"/>
  <c r="K102" i="1"/>
  <c r="T101" i="1"/>
  <c r="Q101" i="1"/>
  <c r="H101" i="1"/>
  <c r="I101" i="1" s="1"/>
  <c r="T100" i="1"/>
  <c r="Q100" i="1"/>
  <c r="K100" i="1"/>
  <c r="T99" i="1"/>
  <c r="Q99" i="1"/>
  <c r="K99" i="1"/>
  <c r="T98" i="1"/>
  <c r="Q98" i="1"/>
  <c r="K98" i="1"/>
  <c r="T97" i="1"/>
  <c r="Q97" i="1"/>
  <c r="K97" i="1"/>
  <c r="T96" i="1"/>
  <c r="Q96" i="1"/>
  <c r="K96" i="1"/>
  <c r="T95" i="1"/>
  <c r="Q95" i="1"/>
  <c r="H95" i="1"/>
  <c r="I95" i="1" s="1"/>
  <c r="T92" i="1"/>
  <c r="Q92" i="1"/>
  <c r="T94" i="1"/>
  <c r="Q94" i="1"/>
  <c r="AB94" i="1" s="1"/>
  <c r="AA94" i="1" s="1"/>
  <c r="K94" i="1"/>
  <c r="K93" i="1"/>
  <c r="K92" i="1"/>
  <c r="Q91" i="1"/>
  <c r="K91" i="1"/>
  <c r="Q90" i="1"/>
  <c r="K90" i="1"/>
  <c r="Q89" i="1"/>
  <c r="H89" i="1"/>
  <c r="I89" i="1" s="1"/>
  <c r="AB126" i="1" l="1"/>
  <c r="X89" i="1"/>
  <c r="Y89" i="1" s="1"/>
  <c r="X123" i="1"/>
  <c r="Z123" i="1" s="1"/>
  <c r="AB130" i="1"/>
  <c r="AA130" i="1" s="1"/>
  <c r="AB129" i="1"/>
  <c r="AA129" i="1" s="1"/>
  <c r="AB104" i="1"/>
  <c r="X125" i="1"/>
  <c r="Z125" i="1" s="1"/>
  <c r="X126" i="1" s="1"/>
  <c r="X128" i="1"/>
  <c r="Y128" i="1" s="1"/>
  <c r="X101" i="1"/>
  <c r="Y101" i="1" s="1"/>
  <c r="X107" i="1"/>
  <c r="Z107" i="1" s="1"/>
  <c r="X108" i="1" s="1"/>
  <c r="X119" i="1"/>
  <c r="Z119" i="1" s="1"/>
  <c r="X121" i="1"/>
  <c r="Z121" i="1" s="1"/>
  <c r="AB123" i="1"/>
  <c r="AA123" i="1" s="1"/>
  <c r="X129" i="1"/>
  <c r="Y129" i="1" s="1"/>
  <c r="X120" i="1"/>
  <c r="Z120" i="1" s="1"/>
  <c r="X130" i="1"/>
  <c r="Z130" i="1" s="1"/>
  <c r="AB124" i="1"/>
  <c r="AA124" i="1" s="1"/>
  <c r="AB128" i="1"/>
  <c r="AA128" i="1" s="1"/>
  <c r="X122" i="1"/>
  <c r="AB120" i="1"/>
  <c r="AA120" i="1" s="1"/>
  <c r="X124" i="1"/>
  <c r="AB121" i="1"/>
  <c r="AA121" i="1" s="1"/>
  <c r="AB122" i="1"/>
  <c r="AA122" i="1" s="1"/>
  <c r="X113" i="1"/>
  <c r="Z113" i="1" s="1"/>
  <c r="X114" i="1" s="1"/>
  <c r="AB105" i="1"/>
  <c r="AB106" i="1"/>
  <c r="X95" i="1"/>
  <c r="Z95" i="1" s="1"/>
  <c r="X94" i="1"/>
  <c r="Y121" i="1" l="1"/>
  <c r="Z89" i="1"/>
  <c r="Y107" i="1"/>
  <c r="Z128" i="1"/>
  <c r="AC129" i="1"/>
  <c r="Y125" i="1"/>
  <c r="Y120" i="1"/>
  <c r="AC120" i="1" s="1"/>
  <c r="AC128" i="1"/>
  <c r="Z129" i="1"/>
  <c r="Y123" i="1"/>
  <c r="AC123" i="1" s="1"/>
  <c r="Z101" i="1"/>
  <c r="X102" i="1" s="1"/>
  <c r="Y102" i="1" s="1"/>
  <c r="Y130" i="1"/>
  <c r="AC130" i="1" s="1"/>
  <c r="Y119" i="1"/>
  <c r="AB127" i="1"/>
  <c r="AA127" i="1" s="1"/>
  <c r="Y126" i="1"/>
  <c r="Z126" i="1"/>
  <c r="X127" i="1" s="1"/>
  <c r="Z124" i="1"/>
  <c r="Y124" i="1"/>
  <c r="AC124" i="1" s="1"/>
  <c r="AC121" i="1"/>
  <c r="Z122" i="1"/>
  <c r="Y122" i="1"/>
  <c r="AC122" i="1" s="1"/>
  <c r="Y113" i="1"/>
  <c r="Z114" i="1"/>
  <c r="X115" i="1" s="1"/>
  <c r="Y114" i="1"/>
  <c r="AB114" i="1"/>
  <c r="Y108" i="1"/>
  <c r="Z108" i="1"/>
  <c r="X109" i="1" s="1"/>
  <c r="X96" i="1"/>
  <c r="Y95" i="1"/>
  <c r="X90" i="1"/>
  <c r="Y90" i="1" s="1"/>
  <c r="Z94" i="1"/>
  <c r="Y94" i="1"/>
  <c r="AC94" i="1" s="1"/>
  <c r="Z102" i="1" l="1"/>
  <c r="X103" i="1" s="1"/>
  <c r="Y103" i="1" s="1"/>
  <c r="Z96" i="1"/>
  <c r="X97" i="1" s="1"/>
  <c r="Y96" i="1"/>
  <c r="Y127" i="1"/>
  <c r="AC127" i="1" s="1"/>
  <c r="Z127" i="1"/>
  <c r="Z115" i="1"/>
  <c r="X116" i="1" s="1"/>
  <c r="Y115" i="1"/>
  <c r="AA114" i="1"/>
  <c r="AC114" i="1" s="1"/>
  <c r="AB115" i="1"/>
  <c r="Y109" i="1"/>
  <c r="Z109" i="1"/>
  <c r="X110" i="1" s="1"/>
  <c r="Z90" i="1"/>
  <c r="X91" i="1" s="1"/>
  <c r="Y91" i="1" s="1"/>
  <c r="Z103" i="1" l="1"/>
  <c r="X104" i="1" s="1"/>
  <c r="Z104" i="1" s="1"/>
  <c r="X105" i="1" s="1"/>
  <c r="Z97" i="1"/>
  <c r="X98" i="1" s="1"/>
  <c r="Y97" i="1"/>
  <c r="Z110" i="1"/>
  <c r="X111" i="1" s="1"/>
  <c r="Y110" i="1"/>
  <c r="Z116" i="1"/>
  <c r="X117" i="1" s="1"/>
  <c r="Y116" i="1"/>
  <c r="AA115" i="1"/>
  <c r="AC115" i="1" s="1"/>
  <c r="AB116" i="1"/>
  <c r="AA104" i="1"/>
  <c r="Z91" i="1"/>
  <c r="X92" i="1" s="1"/>
  <c r="Y104" i="1" l="1"/>
  <c r="AC104" i="1" s="1"/>
  <c r="Z92" i="1"/>
  <c r="Y92" i="1"/>
  <c r="Y98" i="1"/>
  <c r="Z98" i="1"/>
  <c r="X99" i="1" s="1"/>
  <c r="Z111" i="1"/>
  <c r="X112" i="1" s="1"/>
  <c r="Y111" i="1"/>
  <c r="Z117" i="1"/>
  <c r="X118" i="1" s="1"/>
  <c r="Y117" i="1"/>
  <c r="AA116" i="1"/>
  <c r="AC116" i="1" s="1"/>
  <c r="AB117" i="1"/>
  <c r="AA105" i="1"/>
  <c r="AA106" i="1"/>
  <c r="Z105" i="1"/>
  <c r="X106" i="1" s="1"/>
  <c r="Y105" i="1"/>
  <c r="Z112" i="1" l="1"/>
  <c r="Y112" i="1"/>
  <c r="Z99" i="1"/>
  <c r="X100" i="1" s="1"/>
  <c r="Y99" i="1"/>
  <c r="AB118" i="1"/>
  <c r="AA118" i="1" s="1"/>
  <c r="AA117" i="1"/>
  <c r="AC117" i="1" s="1"/>
  <c r="Z118" i="1"/>
  <c r="Y118" i="1"/>
  <c r="AC105" i="1"/>
  <c r="Z106" i="1"/>
  <c r="Y106" i="1"/>
  <c r="AC106" i="1" s="1"/>
  <c r="Z100" i="1" l="1"/>
  <c r="Y100" i="1"/>
  <c r="AC118" i="1"/>
  <c r="T10" i="1" l="1"/>
  <c r="T88" i="1"/>
  <c r="Q88" i="1"/>
  <c r="T87" i="1"/>
  <c r="Q87" i="1"/>
  <c r="T86" i="1"/>
  <c r="Q86" i="1"/>
  <c r="T85" i="1"/>
  <c r="Q85" i="1"/>
  <c r="T84" i="1"/>
  <c r="Q84" i="1"/>
  <c r="K87" i="1"/>
  <c r="K86" i="1"/>
  <c r="K85" i="1"/>
  <c r="K84" i="1"/>
  <c r="T83" i="1"/>
  <c r="Q83" i="1"/>
  <c r="K83" i="1"/>
  <c r="T82" i="1"/>
  <c r="Q82" i="1"/>
  <c r="H82" i="1"/>
  <c r="I82" i="1" s="1"/>
  <c r="T81" i="1"/>
  <c r="Q81" i="1"/>
  <c r="K81" i="1"/>
  <c r="T80" i="1"/>
  <c r="Q80" i="1"/>
  <c r="K80" i="1"/>
  <c r="T79" i="1"/>
  <c r="Q79" i="1"/>
  <c r="K79" i="1"/>
  <c r="T78" i="1"/>
  <c r="Q78" i="1"/>
  <c r="K78" i="1"/>
  <c r="Q77" i="1"/>
  <c r="K77" i="1"/>
  <c r="Q76" i="1"/>
  <c r="H76" i="1"/>
  <c r="I76" i="1" s="1"/>
  <c r="T75" i="1"/>
  <c r="Q75" i="1"/>
  <c r="K75" i="1"/>
  <c r="T74" i="1"/>
  <c r="Q74" i="1"/>
  <c r="K74" i="1"/>
  <c r="T73" i="1"/>
  <c r="Q73" i="1"/>
  <c r="K73" i="1"/>
  <c r="T72" i="1"/>
  <c r="Q72" i="1"/>
  <c r="K72" i="1"/>
  <c r="T71" i="1"/>
  <c r="Q71" i="1"/>
  <c r="K71" i="1"/>
  <c r="Q70" i="1"/>
  <c r="H70" i="1"/>
  <c r="I70" i="1" s="1"/>
  <c r="T60" i="1"/>
  <c r="A22" i="1"/>
  <c r="A28" i="1" s="1"/>
  <c r="A34" i="1" s="1"/>
  <c r="A40" i="1" s="1"/>
  <c r="A46" i="1" s="1"/>
  <c r="A52" i="1" s="1"/>
  <c r="A58" i="1" s="1"/>
  <c r="A64" i="1" s="1"/>
  <c r="A70" i="1" s="1"/>
  <c r="T57" i="1"/>
  <c r="Q57" i="1"/>
  <c r="K57" i="1"/>
  <c r="T56" i="1"/>
  <c r="Q56" i="1"/>
  <c r="K56" i="1"/>
  <c r="T55" i="1"/>
  <c r="Q55" i="1"/>
  <c r="K55" i="1"/>
  <c r="T54" i="1"/>
  <c r="Q54" i="1"/>
  <c r="K54" i="1"/>
  <c r="T53" i="1"/>
  <c r="Q53" i="1"/>
  <c r="K53" i="1"/>
  <c r="Q52" i="1"/>
  <c r="H52" i="1"/>
  <c r="I52" i="1" s="1"/>
  <c r="X82" i="1" l="1"/>
  <c r="AB81" i="1"/>
  <c r="AA81" i="1" s="1"/>
  <c r="AB73" i="1"/>
  <c r="AA73" i="1" s="1"/>
  <c r="AB75" i="1"/>
  <c r="AA75" i="1" s="1"/>
  <c r="AB56" i="1"/>
  <c r="AA56" i="1" s="1"/>
  <c r="X76" i="1"/>
  <c r="Y76" i="1" s="1"/>
  <c r="X73" i="1"/>
  <c r="Z73" i="1" s="1"/>
  <c r="X52" i="1"/>
  <c r="Y52" i="1" s="1"/>
  <c r="X70" i="1"/>
  <c r="Z70" i="1" s="1"/>
  <c r="X71" i="1" s="1"/>
  <c r="AB74" i="1"/>
  <c r="AA74" i="1" s="1"/>
  <c r="X81" i="1"/>
  <c r="X74" i="1"/>
  <c r="A95" i="1"/>
  <c r="A101" i="1" s="1"/>
  <c r="A107" i="1" s="1"/>
  <c r="A113" i="1" s="1"/>
  <c r="A119" i="1" s="1"/>
  <c r="A131" i="1" s="1"/>
  <c r="A137" i="1" s="1"/>
  <c r="A149" i="1" s="1"/>
  <c r="A155" i="1" s="1"/>
  <c r="A161" i="1" s="1"/>
  <c r="A167" i="1" s="1"/>
  <c r="A173" i="1" s="1"/>
  <c r="A179" i="1" s="1"/>
  <c r="X75" i="1"/>
  <c r="AB57" i="1"/>
  <c r="AA57" i="1" s="1"/>
  <c r="AB55" i="1"/>
  <c r="AA55" i="1" s="1"/>
  <c r="X55" i="1"/>
  <c r="X56" i="1"/>
  <c r="X57" i="1"/>
  <c r="A185" i="1" l="1"/>
  <c r="A191" i="1" s="1"/>
  <c r="A197" i="1" s="1"/>
  <c r="A203" i="1" s="1"/>
  <c r="A209" i="1" s="1"/>
  <c r="A215" i="1" s="1"/>
  <c r="Y70" i="1"/>
  <c r="Y73" i="1"/>
  <c r="AC73" i="1" s="1"/>
  <c r="Y82" i="1"/>
  <c r="Z82" i="1"/>
  <c r="X83" i="1" s="1"/>
  <c r="Z76" i="1"/>
  <c r="X77" i="1" s="1"/>
  <c r="Z81" i="1"/>
  <c r="Y81" i="1"/>
  <c r="AC81" i="1" s="1"/>
  <c r="Y71" i="1"/>
  <c r="Z71" i="1"/>
  <c r="X72" i="1" s="1"/>
  <c r="Z74" i="1"/>
  <c r="Y74" i="1"/>
  <c r="AC74" i="1" s="1"/>
  <c r="Z75" i="1"/>
  <c r="Y75" i="1"/>
  <c r="AC75" i="1" s="1"/>
  <c r="Z52" i="1"/>
  <c r="X53" i="1" s="1"/>
  <c r="Z56" i="1"/>
  <c r="Y56" i="1"/>
  <c r="AC56" i="1" s="1"/>
  <c r="Z57" i="1"/>
  <c r="Y57" i="1"/>
  <c r="AC57" i="1" s="1"/>
  <c r="Z55" i="1"/>
  <c r="Y55" i="1"/>
  <c r="AC55" i="1" s="1"/>
  <c r="Z83" i="1" l="1"/>
  <c r="X84" i="1" s="1"/>
  <c r="Y53" i="1"/>
  <c r="Y77" i="1"/>
  <c r="Z72" i="1"/>
  <c r="Y72" i="1"/>
  <c r="Y83" i="1" l="1"/>
  <c r="Z53" i="1"/>
  <c r="X54" i="1" s="1"/>
  <c r="Z77" i="1"/>
  <c r="X78" i="1" s="1"/>
  <c r="Y84" i="1" l="1"/>
  <c r="Z84" i="1"/>
  <c r="X85" i="1" s="1"/>
  <c r="Y54" i="1"/>
  <c r="Z54" i="1"/>
  <c r="Z78" i="1"/>
  <c r="X79" i="1" s="1"/>
  <c r="Q10" i="1"/>
  <c r="Y85" i="1" l="1"/>
  <c r="Z85" i="1"/>
  <c r="X86" i="1" s="1"/>
  <c r="Y79" i="1"/>
  <c r="Y78" i="1"/>
  <c r="Q13" i="1"/>
  <c r="H10" i="1"/>
  <c r="K68" i="1"/>
  <c r="K65" i="1"/>
  <c r="K63" i="1"/>
  <c r="K66" i="1"/>
  <c r="K60" i="1"/>
  <c r="K69" i="1"/>
  <c r="K62" i="1"/>
  <c r="K61" i="1"/>
  <c r="K59" i="1"/>
  <c r="K67" i="1"/>
  <c r="K49" i="1"/>
  <c r="K38" i="1"/>
  <c r="K24" i="1"/>
  <c r="K21" i="1"/>
  <c r="K32" i="1"/>
  <c r="K20" i="1"/>
  <c r="K43" i="1"/>
  <c r="K44" i="1"/>
  <c r="K45" i="1"/>
  <c r="K18" i="1"/>
  <c r="K42" i="1"/>
  <c r="K31" i="1"/>
  <c r="K48" i="1"/>
  <c r="K47" i="1"/>
  <c r="K50" i="1"/>
  <c r="K19" i="1"/>
  <c r="K26" i="1"/>
  <c r="K36" i="1"/>
  <c r="K25" i="1"/>
  <c r="K39" i="1"/>
  <c r="K17" i="1"/>
  <c r="K27" i="1"/>
  <c r="K37" i="1"/>
  <c r="K33" i="1"/>
  <c r="K23" i="1"/>
  <c r="K51" i="1"/>
  <c r="K29" i="1"/>
  <c r="K30" i="1"/>
  <c r="K35" i="1"/>
  <c r="K41" i="1"/>
  <c r="Y86" i="1" l="1"/>
  <c r="Z86" i="1"/>
  <c r="X87" i="1" s="1"/>
  <c r="Z79" i="1"/>
  <c r="X80" i="1" s="1"/>
  <c r="I10" i="1"/>
  <c r="F221" i="13"/>
  <c r="F211" i="13"/>
  <c r="F212" i="13"/>
  <c r="F213" i="13"/>
  <c r="F214" i="13"/>
  <c r="F215" i="13"/>
  <c r="F216" i="13"/>
  <c r="F217" i="13"/>
  <c r="F218" i="13"/>
  <c r="F219" i="13"/>
  <c r="F220" i="13"/>
  <c r="F210" i="13"/>
  <c r="B221" i="13" a="1"/>
  <c r="K11" i="1"/>
  <c r="K12" i="1"/>
  <c r="K15" i="1"/>
  <c r="K14" i="1"/>
  <c r="K13" i="1"/>
  <c r="X10" i="1" l="1"/>
  <c r="Z10" i="1" s="1"/>
  <c r="Z87" i="1"/>
  <c r="Y87" i="1"/>
  <c r="Y80" i="1"/>
  <c r="Z80" i="1"/>
  <c r="B221" i="13"/>
  <c r="Q58" i="1"/>
  <c r="Q47" i="1"/>
  <c r="Q41" i="1"/>
  <c r="K161" i="1" l="1"/>
  <c r="L161" i="1" s="1"/>
  <c r="K179" i="1"/>
  <c r="L179" i="1" s="1"/>
  <c r="K143" i="1"/>
  <c r="L143" i="1" s="1"/>
  <c r="K209" i="1"/>
  <c r="L209" i="1" s="1"/>
  <c r="K197" i="1"/>
  <c r="L197" i="1" s="1"/>
  <c r="K131" i="1"/>
  <c r="L131" i="1" s="1"/>
  <c r="K167" i="1"/>
  <c r="L167" i="1" s="1"/>
  <c r="K185" i="1"/>
  <c r="L185" i="1" s="1"/>
  <c r="K215" i="1"/>
  <c r="L215" i="1" s="1"/>
  <c r="K137" i="1"/>
  <c r="L137" i="1" s="1"/>
  <c r="K173" i="1"/>
  <c r="L173" i="1" s="1"/>
  <c r="K149" i="1"/>
  <c r="L149" i="1" s="1"/>
  <c r="K203" i="1"/>
  <c r="L203" i="1" s="1"/>
  <c r="K191" i="1"/>
  <c r="L191" i="1" s="1"/>
  <c r="K155" i="1"/>
  <c r="L155" i="1" s="1"/>
  <c r="K107" i="1"/>
  <c r="L107" i="1" s="1"/>
  <c r="K119" i="1"/>
  <c r="L119" i="1" s="1"/>
  <c r="K101" i="1"/>
  <c r="L101" i="1" s="1"/>
  <c r="K125" i="1"/>
  <c r="L125" i="1" s="1"/>
  <c r="K89" i="1"/>
  <c r="L89" i="1" s="1"/>
  <c r="K113" i="1"/>
  <c r="L113" i="1" s="1"/>
  <c r="K95" i="1"/>
  <c r="L95" i="1" s="1"/>
  <c r="K76" i="1"/>
  <c r="L76" i="1" s="1"/>
  <c r="K52" i="1"/>
  <c r="L52" i="1" s="1"/>
  <c r="K82" i="1"/>
  <c r="L82" i="1" s="1"/>
  <c r="K70" i="1"/>
  <c r="L70" i="1" s="1"/>
  <c r="X88" i="1"/>
  <c r="Y8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125" i="1" l="1"/>
  <c r="AB125" i="1" s="1"/>
  <c r="N125" i="1"/>
  <c r="N95" i="1"/>
  <c r="M95" i="1"/>
  <c r="AB95" i="1" s="1"/>
  <c r="M155" i="1"/>
  <c r="AB155" i="1" s="1"/>
  <c r="N155" i="1"/>
  <c r="M82" i="1"/>
  <c r="AB82" i="1" s="1"/>
  <c r="N82" i="1"/>
  <c r="M70" i="1"/>
  <c r="N70" i="1"/>
  <c r="M113" i="1"/>
  <c r="AB113" i="1" s="1"/>
  <c r="AA113" i="1" s="1"/>
  <c r="AC113" i="1" s="1"/>
  <c r="N113" i="1"/>
  <c r="M137" i="1"/>
  <c r="AB137" i="1" s="1"/>
  <c r="N137" i="1"/>
  <c r="M131" i="1"/>
  <c r="AB131" i="1" s="1"/>
  <c r="N131" i="1"/>
  <c r="N89" i="1"/>
  <c r="M89" i="1"/>
  <c r="N191" i="1"/>
  <c r="M191" i="1"/>
  <c r="AB191" i="1" s="1"/>
  <c r="AB192" i="1" s="1"/>
  <c r="M215" i="1"/>
  <c r="AB215" i="1" s="1"/>
  <c r="N215" i="1"/>
  <c r="M197" i="1"/>
  <c r="AB197" i="1" s="1"/>
  <c r="N197" i="1"/>
  <c r="M101" i="1"/>
  <c r="AB101" i="1" s="1"/>
  <c r="N101" i="1"/>
  <c r="M161" i="1"/>
  <c r="AB161" i="1" s="1"/>
  <c r="N161" i="1"/>
  <c r="M203" i="1"/>
  <c r="AB203" i="1" s="1"/>
  <c r="N203" i="1"/>
  <c r="M52" i="1"/>
  <c r="AB52" i="1" s="1"/>
  <c r="N52" i="1"/>
  <c r="N149" i="1"/>
  <c r="M149" i="1"/>
  <c r="AB149" i="1" s="1"/>
  <c r="M185" i="1"/>
  <c r="AB185" i="1" s="1"/>
  <c r="N185" i="1"/>
  <c r="M209" i="1"/>
  <c r="AB209" i="1" s="1"/>
  <c r="AA209" i="1" s="1"/>
  <c r="AC209" i="1" s="1"/>
  <c r="N209" i="1"/>
  <c r="M76" i="1"/>
  <c r="N76" i="1"/>
  <c r="M119" i="1"/>
  <c r="AB119" i="1" s="1"/>
  <c r="AA119" i="1" s="1"/>
  <c r="AC119" i="1" s="1"/>
  <c r="N119" i="1"/>
  <c r="M173" i="1"/>
  <c r="AB173" i="1" s="1"/>
  <c r="N173" i="1"/>
  <c r="N143" i="1"/>
  <c r="M143" i="1"/>
  <c r="AB143" i="1" s="1"/>
  <c r="M107" i="1"/>
  <c r="AB107" i="1" s="1"/>
  <c r="N107" i="1"/>
  <c r="M167" i="1"/>
  <c r="AB167" i="1" s="1"/>
  <c r="N167" i="1"/>
  <c r="M179" i="1"/>
  <c r="AB179" i="1" s="1"/>
  <c r="AB180" i="1" s="1"/>
  <c r="N179" i="1"/>
  <c r="Z88" i="1"/>
  <c r="T69" i="1"/>
  <c r="Q69" i="1"/>
  <c r="T68" i="1"/>
  <c r="Q68" i="1"/>
  <c r="T67" i="1"/>
  <c r="Q67" i="1"/>
  <c r="T66" i="1"/>
  <c r="Q66" i="1"/>
  <c r="T65" i="1"/>
  <c r="Q65" i="1"/>
  <c r="Q64" i="1"/>
  <c r="H64" i="1"/>
  <c r="I64" i="1" s="1"/>
  <c r="T63" i="1"/>
  <c r="Q63" i="1"/>
  <c r="T62" i="1"/>
  <c r="Q62" i="1"/>
  <c r="T61" i="1"/>
  <c r="Q61" i="1"/>
  <c r="Q60" i="1"/>
  <c r="T59" i="1"/>
  <c r="Q59" i="1"/>
  <c r="T58" i="1"/>
  <c r="H58" i="1"/>
  <c r="I58"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T21" i="1"/>
  <c r="Q21" i="1"/>
  <c r="T20" i="1"/>
  <c r="Q20" i="1"/>
  <c r="T19" i="1"/>
  <c r="Q19" i="1"/>
  <c r="T18" i="1"/>
  <c r="Q18" i="1"/>
  <c r="T17" i="1"/>
  <c r="Q17" i="1"/>
  <c r="Q16" i="1"/>
  <c r="AA185" i="1" l="1"/>
  <c r="AC185" i="1" s="1"/>
  <c r="AB186" i="1"/>
  <c r="AA186" i="1" s="1"/>
  <c r="AC186" i="1" s="1"/>
  <c r="AA149" i="1"/>
  <c r="AC149" i="1" s="1"/>
  <c r="AB150" i="1"/>
  <c r="AA150" i="1" s="1"/>
  <c r="AC150" i="1" s="1"/>
  <c r="AA203" i="1"/>
  <c r="AC203" i="1" s="1"/>
  <c r="AB204" i="1"/>
  <c r="AA204" i="1" s="1"/>
  <c r="AC204" i="1" s="1"/>
  <c r="AA137" i="1"/>
  <c r="AC137" i="1" s="1"/>
  <c r="AB138" i="1"/>
  <c r="AA138" i="1" s="1"/>
  <c r="AC138" i="1" s="1"/>
  <c r="AA82" i="1"/>
  <c r="AC82" i="1" s="1"/>
  <c r="AB83" i="1"/>
  <c r="AA83" i="1" s="1"/>
  <c r="AC83" i="1" s="1"/>
  <c r="AB84" i="1"/>
  <c r="AA155" i="1"/>
  <c r="AC155" i="1" s="1"/>
  <c r="AB156" i="1"/>
  <c r="AA156" i="1" s="1"/>
  <c r="AC156" i="1" s="1"/>
  <c r="AA179" i="1"/>
  <c r="AC179" i="1" s="1"/>
  <c r="AA180" i="1"/>
  <c r="AC180" i="1" s="1"/>
  <c r="AA95" i="1"/>
  <c r="AC95" i="1" s="1"/>
  <c r="AB96" i="1"/>
  <c r="AA107" i="1"/>
  <c r="AC107" i="1" s="1"/>
  <c r="AB108" i="1"/>
  <c r="AA108" i="1" s="1"/>
  <c r="AC108" i="1" s="1"/>
  <c r="AB109" i="1"/>
  <c r="AB76" i="1"/>
  <c r="AA76" i="1" s="1"/>
  <c r="AC76" i="1" s="1"/>
  <c r="AB77" i="1"/>
  <c r="AA161" i="1"/>
  <c r="AC161" i="1" s="1"/>
  <c r="AB162" i="1"/>
  <c r="AA101" i="1"/>
  <c r="AC101" i="1" s="1"/>
  <c r="AB102" i="1"/>
  <c r="AB198" i="1"/>
  <c r="AA197" i="1"/>
  <c r="AC197" i="1" s="1"/>
  <c r="AB89" i="1"/>
  <c r="AA89" i="1" s="1"/>
  <c r="AC89" i="1" s="1"/>
  <c r="AB90" i="1"/>
  <c r="AA167" i="1"/>
  <c r="AC167" i="1" s="1"/>
  <c r="AB168" i="1"/>
  <c r="AA173" i="1"/>
  <c r="AC173" i="1" s="1"/>
  <c r="AB174" i="1"/>
  <c r="AA215" i="1"/>
  <c r="AC215" i="1" s="1"/>
  <c r="AB216" i="1"/>
  <c r="AA216" i="1" s="1"/>
  <c r="AC216" i="1" s="1"/>
  <c r="AB53" i="1"/>
  <c r="AA52" i="1"/>
  <c r="AC52" i="1" s="1"/>
  <c r="AA191" i="1"/>
  <c r="AC191" i="1" s="1"/>
  <c r="AA192" i="1"/>
  <c r="AC192" i="1" s="1"/>
  <c r="AB144" i="1"/>
  <c r="AA144" i="1" s="1"/>
  <c r="AC144" i="1" s="1"/>
  <c r="AA143" i="1"/>
  <c r="AC143" i="1" s="1"/>
  <c r="AA131" i="1"/>
  <c r="AC131" i="1" s="1"/>
  <c r="AB132" i="1"/>
  <c r="AB70" i="1"/>
  <c r="AA70" i="1" s="1"/>
  <c r="AC70" i="1" s="1"/>
  <c r="AB71" i="1"/>
  <c r="AA125" i="1"/>
  <c r="AC125" i="1" s="1"/>
  <c r="AA126" i="1"/>
  <c r="AC126" i="1" s="1"/>
  <c r="X27" i="1"/>
  <c r="X32" i="1"/>
  <c r="X33" i="1"/>
  <c r="X26" i="1"/>
  <c r="X58" i="1"/>
  <c r="X38" i="1"/>
  <c r="X15" i="1"/>
  <c r="X14" i="1"/>
  <c r="X25" i="1"/>
  <c r="X28" i="1"/>
  <c r="X46" i="1"/>
  <c r="X40" i="1"/>
  <c r="X22" i="1"/>
  <c r="X31" i="1"/>
  <c r="AB24" i="1"/>
  <c r="X24" i="1"/>
  <c r="X34" i="1"/>
  <c r="X39" i="1"/>
  <c r="X64" i="1"/>
  <c r="AB50" i="1"/>
  <c r="AA50" i="1" s="1"/>
  <c r="AB51" i="1"/>
  <c r="AA51" i="1" s="1"/>
  <c r="I16" i="1"/>
  <c r="X16" i="1" s="1"/>
  <c r="X50" i="1"/>
  <c r="X51" i="1"/>
  <c r="AB72" i="1" l="1"/>
  <c r="AA72" i="1" s="1"/>
  <c r="AC72" i="1" s="1"/>
  <c r="AA71" i="1"/>
  <c r="AC71" i="1" s="1"/>
  <c r="AA90" i="1"/>
  <c r="AC90" i="1" s="1"/>
  <c r="AB91" i="1"/>
  <c r="AB78" i="1"/>
  <c r="AA77" i="1"/>
  <c r="AC77" i="1" s="1"/>
  <c r="AA109" i="1"/>
  <c r="AC109" i="1" s="1"/>
  <c r="AB110" i="1"/>
  <c r="AB199" i="1"/>
  <c r="AA198" i="1"/>
  <c r="AC198" i="1" s="1"/>
  <c r="AA84" i="1"/>
  <c r="AC84" i="1" s="1"/>
  <c r="AB85" i="1"/>
  <c r="AB175" i="1"/>
  <c r="AA175" i="1" s="1"/>
  <c r="AC175" i="1" s="1"/>
  <c r="AA174" i="1"/>
  <c r="AC174" i="1" s="1"/>
  <c r="AB103" i="1"/>
  <c r="AA103" i="1" s="1"/>
  <c r="AC103" i="1" s="1"/>
  <c r="AA102" i="1"/>
  <c r="AC102" i="1" s="1"/>
  <c r="AB133" i="1"/>
  <c r="AA132" i="1"/>
  <c r="AC132" i="1" s="1"/>
  <c r="AA168" i="1"/>
  <c r="AC168" i="1" s="1"/>
  <c r="AB169" i="1"/>
  <c r="AA169" i="1" s="1"/>
  <c r="AC169" i="1" s="1"/>
  <c r="AA162" i="1"/>
  <c r="AC162" i="1" s="1"/>
  <c r="AB163" i="1"/>
  <c r="AA163" i="1" s="1"/>
  <c r="AC163" i="1" s="1"/>
  <c r="AB54" i="1"/>
  <c r="AA54" i="1" s="1"/>
  <c r="AC54" i="1" s="1"/>
  <c r="AA53" i="1"/>
  <c r="AC53" i="1" s="1"/>
  <c r="AB97" i="1"/>
  <c r="AA96" i="1"/>
  <c r="AC96" i="1" s="1"/>
  <c r="Y64" i="1"/>
  <c r="Z64" i="1"/>
  <c r="X65" i="1" s="1"/>
  <c r="Y58" i="1"/>
  <c r="Z58" i="1"/>
  <c r="X59" i="1" s="1"/>
  <c r="Y51" i="1"/>
  <c r="Z51" i="1"/>
  <c r="Y50" i="1"/>
  <c r="Z50" i="1"/>
  <c r="Y46" i="1"/>
  <c r="Z46" i="1"/>
  <c r="X47" i="1" s="1"/>
  <c r="Y40" i="1"/>
  <c r="Z40" i="1"/>
  <c r="X41" i="1" s="1"/>
  <c r="Y34" i="1"/>
  <c r="Z34" i="1"/>
  <c r="X35" i="1" s="1"/>
  <c r="Y28" i="1"/>
  <c r="Z28" i="1"/>
  <c r="X29" i="1" s="1"/>
  <c r="Y22" i="1"/>
  <c r="Z22" i="1"/>
  <c r="X23" i="1" s="1"/>
  <c r="Y16" i="1"/>
  <c r="Z16" i="1"/>
  <c r="X17" i="1" s="1"/>
  <c r="AB92" i="1" l="1"/>
  <c r="AA92" i="1" s="1"/>
  <c r="AC92" i="1" s="1"/>
  <c r="AA91" i="1"/>
  <c r="AC91" i="1" s="1"/>
  <c r="AB98" i="1"/>
  <c r="AA97" i="1"/>
  <c r="AC97" i="1" s="1"/>
  <c r="AA110" i="1"/>
  <c r="AC110" i="1" s="1"/>
  <c r="AB111" i="1"/>
  <c r="AA133" i="1"/>
  <c r="AC133" i="1" s="1"/>
  <c r="AB134" i="1"/>
  <c r="AA134" i="1" s="1"/>
  <c r="AC134" i="1" s="1"/>
  <c r="AB200" i="1"/>
  <c r="AA199" i="1"/>
  <c r="AC199" i="1" s="1"/>
  <c r="AA85" i="1"/>
  <c r="AC85" i="1" s="1"/>
  <c r="AB86" i="1"/>
  <c r="AA86" i="1" s="1"/>
  <c r="AC86" i="1" s="1"/>
  <c r="AB87" i="1"/>
  <c r="AB79" i="1"/>
  <c r="AA78" i="1"/>
  <c r="AC78" i="1" s="1"/>
  <c r="Z65" i="1"/>
  <c r="X66" i="1" s="1"/>
  <c r="Z59" i="1"/>
  <c r="Z41" i="1"/>
  <c r="Z29" i="1"/>
  <c r="X30" i="1" s="1"/>
  <c r="Y23" i="1"/>
  <c r="Z23" i="1"/>
  <c r="Y24" i="1" s="1"/>
  <c r="Y59" i="1"/>
  <c r="Y4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AB80" i="1" l="1"/>
  <c r="AA80" i="1" s="1"/>
  <c r="AC80" i="1" s="1"/>
  <c r="AA79" i="1"/>
  <c r="AC79" i="1" s="1"/>
  <c r="AB135" i="1"/>
  <c r="AB201" i="1"/>
  <c r="AA201" i="1" s="1"/>
  <c r="AC201" i="1" s="1"/>
  <c r="AA200" i="1"/>
  <c r="AC200" i="1" s="1"/>
  <c r="AB112" i="1"/>
  <c r="AA112" i="1" s="1"/>
  <c r="AC112" i="1" s="1"/>
  <c r="AA111" i="1"/>
  <c r="AC111" i="1" s="1"/>
  <c r="AB99" i="1"/>
  <c r="AA98" i="1"/>
  <c r="AC98" i="1" s="1"/>
  <c r="AB88" i="1"/>
  <c r="AA88" i="1" s="1"/>
  <c r="AC88" i="1" s="1"/>
  <c r="AA87" i="1"/>
  <c r="AC87" i="1" s="1"/>
  <c r="X42" i="1"/>
  <c r="Y42" i="1" s="1"/>
  <c r="X60" i="1"/>
  <c r="Y60" i="1" s="1"/>
  <c r="Z66" i="1"/>
  <c r="X67" i="1" s="1"/>
  <c r="Z67" i="1" s="1"/>
  <c r="Y66" i="1"/>
  <c r="Y65" i="1"/>
  <c r="Y30" i="1"/>
  <c r="Z30" i="1"/>
  <c r="Y29" i="1"/>
  <c r="Z24" i="1"/>
  <c r="Z25" i="1" s="1"/>
  <c r="Y47" i="1"/>
  <c r="Z47" i="1"/>
  <c r="X48" i="1" s="1"/>
  <c r="Y35" i="1"/>
  <c r="Z35" i="1"/>
  <c r="Y32" i="1"/>
  <c r="Y17" i="1"/>
  <c r="Z17" i="1"/>
  <c r="X18" i="1" s="1"/>
  <c r="AA135" i="1" l="1"/>
  <c r="AC135" i="1" s="1"/>
  <c r="AB100" i="1"/>
  <c r="AA100" i="1" s="1"/>
  <c r="AC100" i="1" s="1"/>
  <c r="AA99" i="1"/>
  <c r="AC99" i="1" s="1"/>
  <c r="X36" i="1"/>
  <c r="Y36" i="1" s="1"/>
  <c r="Z42" i="1"/>
  <c r="X43" i="1" s="1"/>
  <c r="Z43" i="1" s="1"/>
  <c r="X44" i="1" s="1"/>
  <c r="Z60" i="1"/>
  <c r="X61" i="1" s="1"/>
  <c r="Y67" i="1"/>
  <c r="Z48" i="1"/>
  <c r="X49" i="1" s="1"/>
  <c r="Z49" i="1" s="1"/>
  <c r="Z18" i="1"/>
  <c r="X19" i="1" s="1"/>
  <c r="X68" i="1"/>
  <c r="X69" i="1"/>
  <c r="Y25" i="1"/>
  <c r="Y31" i="1"/>
  <c r="Z31" i="1"/>
  <c r="Z32" i="1"/>
  <c r="Q12" i="1"/>
  <c r="X13" i="1" s="1"/>
  <c r="Y43" i="1" l="1"/>
  <c r="Y61" i="1"/>
  <c r="Z61" i="1"/>
  <c r="X62" i="1" s="1"/>
  <c r="Y48" i="1"/>
  <c r="Y44" i="1"/>
  <c r="Z36" i="1"/>
  <c r="X37" i="1" s="1"/>
  <c r="Y37" i="1" s="1"/>
  <c r="Y19" i="1"/>
  <c r="Y18" i="1"/>
  <c r="Y49" i="1"/>
  <c r="Y69" i="1"/>
  <c r="Z69" i="1"/>
  <c r="Y68" i="1"/>
  <c r="Z68" i="1"/>
  <c r="Y26" i="1"/>
  <c r="Z26" i="1"/>
  <c r="Y27" i="1" s="1"/>
  <c r="Y33" i="1"/>
  <c r="Z33" i="1"/>
  <c r="Z37" i="1" l="1"/>
  <c r="Y62" i="1"/>
  <c r="Z62" i="1"/>
  <c r="X63" i="1" s="1"/>
  <c r="Z44" i="1"/>
  <c r="X45" i="1" s="1"/>
  <c r="Y45" i="1" s="1"/>
  <c r="Z19" i="1"/>
  <c r="X20" i="1" s="1"/>
  <c r="Z20" i="1" s="1"/>
  <c r="X21" i="1" s="1"/>
  <c r="Y21" i="1" s="1"/>
  <c r="Y10" i="1"/>
  <c r="Z27" i="1"/>
  <c r="Q11" i="1"/>
  <c r="X11" i="1" s="1"/>
  <c r="Y63" i="1" l="1"/>
  <c r="Z63" i="1"/>
  <c r="Y11" i="1"/>
  <c r="Z45" i="1"/>
  <c r="Z21" i="1"/>
  <c r="Y20" i="1"/>
  <c r="Z38" i="1" l="1"/>
  <c r="Y38" i="1"/>
  <c r="Z11" i="1"/>
  <c r="X12" i="1" s="1"/>
  <c r="Y39" i="1" l="1"/>
  <c r="Z39" i="1"/>
  <c r="Y12" i="1"/>
  <c r="Z12" i="1" l="1"/>
  <c r="Z13" i="1" s="1"/>
  <c r="Y14" i="1" l="1"/>
  <c r="Z14" i="1"/>
  <c r="Y13" i="1"/>
  <c r="Y15" i="1" l="1"/>
  <c r="Z15" i="1"/>
  <c r="AB49" i="1" l="1"/>
  <c r="AA49" i="1" s="1"/>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B31" i="1"/>
  <c r="AB25" i="1"/>
  <c r="AA24" i="1"/>
  <c r="AB67" i="1"/>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B45" i="1"/>
  <c r="AA45" i="1" s="1"/>
  <c r="AB14" i="1"/>
  <c r="AA14" i="1" l="1"/>
  <c r="AB15" i="1"/>
  <c r="AA15" i="1" s="1"/>
  <c r="AB62" i="1"/>
  <c r="AB26" i="1"/>
  <c r="AA26" i="1" s="1"/>
  <c r="AA25" i="1"/>
  <c r="AB27" i="1"/>
  <c r="AA27" i="1" s="1"/>
  <c r="AB20"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7" i="1"/>
  <c r="AC67" i="1" s="1"/>
  <c r="AB68" i="1"/>
  <c r="AA31" i="1"/>
  <c r="AB32" i="1"/>
  <c r="AA32" i="1" s="1"/>
  <c r="AB33" i="1"/>
  <c r="AA33" i="1" s="1"/>
  <c r="AB38" i="1"/>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62" i="1"/>
  <c r="AB63" i="1"/>
  <c r="AA63"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8" i="1"/>
  <c r="AB69" i="1"/>
  <c r="AA69"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9" i="1"/>
  <c r="AA14" i="19"/>
  <c r="O54" i="19"/>
  <c r="U44" i="19"/>
  <c r="U43" i="19"/>
  <c r="U13" i="19"/>
  <c r="AM53" i="19"/>
  <c r="AA53" i="19"/>
  <c r="AA43" i="19"/>
  <c r="O53" i="19"/>
  <c r="O23" i="19"/>
  <c r="O13" i="19"/>
  <c r="AG43" i="19"/>
  <c r="U33" i="19"/>
  <c r="U23" i="19"/>
  <c r="AM13" i="19"/>
  <c r="AM23" i="19"/>
  <c r="AG13" i="19"/>
  <c r="AA23" i="19"/>
  <c r="AG33" i="19"/>
  <c r="AA33" i="19"/>
  <c r="AM33" i="19"/>
  <c r="AA13" i="19"/>
  <c r="AC6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8" i="1"/>
  <c r="AF53" i="19"/>
  <c r="T43" i="19"/>
  <c r="Z53" i="19"/>
  <c r="N43" i="19"/>
  <c r="T23" i="19"/>
  <c r="AF43" i="19"/>
  <c r="Z13" i="19"/>
  <c r="Z43" i="19"/>
  <c r="AF23" i="19"/>
  <c r="AL13" i="19"/>
  <c r="Z23" i="19"/>
  <c r="AL43" i="19"/>
  <c r="AF13" i="19"/>
  <c r="AL23" i="19"/>
  <c r="N13" i="19"/>
  <c r="T33" i="19"/>
  <c r="AL53" i="19"/>
  <c r="N23" i="19"/>
  <c r="N53" i="19"/>
  <c r="AF33" i="19"/>
  <c r="N33" i="19"/>
  <c r="AC62"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10" i="1"/>
  <c r="L10" i="1" s="1"/>
  <c r="N10" i="1" s="1"/>
  <c r="K28" i="1"/>
  <c r="L28" i="1" s="1"/>
  <c r="K22" i="1"/>
  <c r="L22" i="1" s="1"/>
  <c r="K58" i="1"/>
  <c r="L58" i="1" s="1"/>
  <c r="K46" i="1"/>
  <c r="L46" i="1" s="1"/>
  <c r="K34" i="1"/>
  <c r="L34" i="1" s="1"/>
  <c r="K16" i="1"/>
  <c r="L16" i="1" s="1"/>
  <c r="K64" i="1"/>
  <c r="L64" i="1" s="1"/>
  <c r="X6" i="18" l="1"/>
  <c r="AJ30" i="18"/>
  <c r="R22" i="18"/>
  <c r="L6" i="18"/>
  <c r="R30" i="18"/>
  <c r="X22" i="18"/>
  <c r="X38" i="18"/>
  <c r="AD38" i="18"/>
  <c r="N16" i="1"/>
  <c r="AD22" i="18"/>
  <c r="M16" i="1"/>
  <c r="AB16" i="1" s="1"/>
  <c r="AB17" i="1" s="1"/>
  <c r="AB18" i="1" s="1"/>
  <c r="AB19"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AB34" i="1" s="1"/>
  <c r="AB35" i="1" s="1"/>
  <c r="AB36" i="1" s="1"/>
  <c r="AB37" i="1" s="1"/>
  <c r="R40" i="18"/>
  <c r="L40" i="18"/>
  <c r="X16" i="18"/>
  <c r="L24" i="18"/>
  <c r="AJ24" i="18"/>
  <c r="X32" i="18"/>
  <c r="AJ40" i="18"/>
  <c r="R16" i="18"/>
  <c r="AD40" i="18"/>
  <c r="AD32" i="18"/>
  <c r="AD16" i="18"/>
  <c r="M46" i="1"/>
  <c r="AB46" i="1" s="1"/>
  <c r="AB47" i="1" s="1"/>
  <c r="AB48" i="1" s="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8" i="1"/>
  <c r="AB58" i="1" s="1"/>
  <c r="L18" i="18"/>
  <c r="AJ26" i="18"/>
  <c r="AD18" i="18"/>
  <c r="R34" i="18"/>
  <c r="L34" i="18"/>
  <c r="AJ42" i="18"/>
  <c r="R10" i="18"/>
  <c r="R42" i="18"/>
  <c r="X26" i="18"/>
  <c r="AJ18" i="18"/>
  <c r="N58" i="1"/>
  <c r="T14" i="18"/>
  <c r="AL38" i="18"/>
  <c r="N14" i="18"/>
  <c r="Z6" i="18"/>
  <c r="T38" i="18"/>
  <c r="T22" i="18"/>
  <c r="AL14" i="18"/>
  <c r="N22" i="18"/>
  <c r="N22" i="1"/>
  <c r="AF22" i="18"/>
  <c r="N6" i="18"/>
  <c r="AF6" i="18"/>
  <c r="AF38" i="18"/>
  <c r="M22" i="1"/>
  <c r="AB22" i="1" s="1"/>
  <c r="AB23" i="1" s="1"/>
  <c r="N38" i="18"/>
  <c r="AL30" i="18"/>
  <c r="AL22" i="18"/>
  <c r="T6" i="18"/>
  <c r="AF14" i="18"/>
  <c r="AF30" i="18"/>
  <c r="Z22" i="18"/>
  <c r="T30" i="18"/>
  <c r="Z30" i="18"/>
  <c r="AL6" i="18"/>
  <c r="Z14" i="18"/>
  <c r="Z38" i="18"/>
  <c r="N30" i="18"/>
  <c r="J40" i="18"/>
  <c r="AB40" i="18"/>
  <c r="AH32" i="18"/>
  <c r="AB24" i="18"/>
  <c r="V16" i="18"/>
  <c r="M28" i="1"/>
  <c r="AB28" i="1" s="1"/>
  <c r="AB29" i="1" s="1"/>
  <c r="AB30"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64" i="1"/>
  <c r="AB64" i="1" s="1"/>
  <c r="Z34" i="18"/>
  <c r="T10" i="18"/>
  <c r="N64"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M40" i="1"/>
  <c r="AB40" i="1" s="1"/>
  <c r="AB41" i="1" s="1"/>
  <c r="AB42" i="1" s="1"/>
  <c r="AB43" i="1" s="1"/>
  <c r="AB44" i="1" s="1"/>
  <c r="Z40" i="18"/>
  <c r="AL8" i="18"/>
  <c r="AF8" i="18"/>
  <c r="T8" i="18"/>
  <c r="Z16" i="18"/>
  <c r="T24" i="18"/>
  <c r="AL24" i="18"/>
  <c r="Z32" i="18"/>
  <c r="N32" i="18"/>
  <c r="N16" i="18"/>
  <c r="Z8" i="18"/>
  <c r="AL40" i="18"/>
  <c r="N8" i="18"/>
  <c r="N24" i="18"/>
  <c r="T32" i="18"/>
  <c r="T16" i="18"/>
  <c r="AF40" i="18"/>
  <c r="AF16" i="18"/>
  <c r="AL32" i="18"/>
  <c r="N40" i="18"/>
  <c r="Z24" i="18"/>
  <c r="AL16" i="18"/>
  <c r="N40" i="1"/>
  <c r="AB65" i="1" l="1"/>
  <c r="AA64" i="1"/>
  <c r="AA10" i="1"/>
  <c r="AC10" i="1" s="1"/>
  <c r="AB11" i="1"/>
  <c r="AB12" i="1" s="1"/>
  <c r="AB59" i="1"/>
  <c r="AA58" i="1"/>
  <c r="AA46" i="1"/>
  <c r="AA40" i="1"/>
  <c r="AC40" i="1" s="1"/>
  <c r="AA28" i="1"/>
  <c r="AA22" i="1"/>
  <c r="AA23" i="1"/>
  <c r="AA34" i="1"/>
  <c r="AC34" i="1" s="1"/>
  <c r="AA16" i="1"/>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AB6" i="19" l="1"/>
  <c r="AC58" i="1"/>
  <c r="J13" i="19"/>
  <c r="P53" i="19"/>
  <c r="J23" i="19"/>
  <c r="J53" i="19"/>
  <c r="V53" i="19"/>
  <c r="AB43" i="19"/>
  <c r="AH43" i="19"/>
  <c r="P43" i="19"/>
  <c r="AH13" i="19"/>
  <c r="AB23" i="19"/>
  <c r="AH33" i="19"/>
  <c r="AB53" i="19"/>
  <c r="V33" i="19"/>
  <c r="V43" i="19"/>
  <c r="P23" i="19"/>
  <c r="AB33" i="19"/>
  <c r="P13" i="19"/>
  <c r="AB13" i="19"/>
  <c r="V13" i="19"/>
  <c r="J43" i="19"/>
  <c r="P33" i="19"/>
  <c r="AH23" i="19"/>
  <c r="V23" i="19"/>
  <c r="J33" i="19"/>
  <c r="AH53" i="19"/>
  <c r="AB60" i="1"/>
  <c r="AA59" i="1"/>
  <c r="AC64" i="1"/>
  <c r="AH14" i="19"/>
  <c r="P34" i="19"/>
  <c r="AB14" i="19"/>
  <c r="J14" i="19"/>
  <c r="V44" i="19"/>
  <c r="AH34" i="19"/>
  <c r="AB54" i="19"/>
  <c r="V34" i="19"/>
  <c r="J34" i="19"/>
  <c r="AH54" i="19"/>
  <c r="P24" i="19"/>
  <c r="AB34" i="19"/>
  <c r="AH24" i="19"/>
  <c r="AB44" i="19"/>
  <c r="V14" i="19"/>
  <c r="J44" i="19"/>
  <c r="J54" i="19"/>
  <c r="P14" i="19"/>
  <c r="J24" i="19"/>
  <c r="V54" i="19"/>
  <c r="P54" i="19"/>
  <c r="AH44" i="19"/>
  <c r="V24" i="19"/>
  <c r="P44" i="19"/>
  <c r="AB24" i="19"/>
  <c r="AB66" i="1"/>
  <c r="AA66" i="1" s="1"/>
  <c r="AA65" i="1"/>
  <c r="AB36" i="19"/>
  <c r="AC18" i="19"/>
  <c r="Q48" i="19"/>
  <c r="W28" i="19"/>
  <c r="W8" i="19"/>
  <c r="K48" i="19"/>
  <c r="AC23" i="1"/>
  <c r="AC38" i="19"/>
  <c r="W38" i="19"/>
  <c r="K38" i="19"/>
  <c r="Q38" i="19"/>
  <c r="K18" i="19"/>
  <c r="K28" i="19"/>
  <c r="AC8" i="19"/>
  <c r="AI8" i="19"/>
  <c r="AI48" i="19"/>
  <c r="AC48" i="19"/>
  <c r="AC28" i="19"/>
  <c r="Q8" i="19"/>
  <c r="AI28" i="19"/>
  <c r="W48" i="19"/>
  <c r="AI38" i="19"/>
  <c r="K8" i="19"/>
  <c r="AI18" i="19"/>
  <c r="Q18" i="19"/>
  <c r="W18" i="19"/>
  <c r="Q28" i="19"/>
  <c r="P18" i="19"/>
  <c r="AH38" i="19"/>
  <c r="AH18" i="19"/>
  <c r="V8" i="19"/>
  <c r="V48" i="19"/>
  <c r="AH28" i="19"/>
  <c r="J8" i="19"/>
  <c r="P48" i="19"/>
  <c r="V18" i="19"/>
  <c r="AH48" i="19"/>
  <c r="P28" i="19"/>
  <c r="P8" i="19"/>
  <c r="AC22" i="1"/>
  <c r="V28" i="19"/>
  <c r="AH8" i="19"/>
  <c r="AB38" i="19"/>
  <c r="J18" i="19"/>
  <c r="V38" i="19"/>
  <c r="AB18" i="19"/>
  <c r="J38" i="19"/>
  <c r="J28" i="19"/>
  <c r="AB48" i="19"/>
  <c r="P38" i="19"/>
  <c r="AB28" i="19"/>
  <c r="AB8" i="19"/>
  <c r="J48" i="19"/>
  <c r="AA29" i="1"/>
  <c r="AA30" i="1"/>
  <c r="P9" i="19"/>
  <c r="V29" i="19"/>
  <c r="P49" i="19"/>
  <c r="V49" i="19"/>
  <c r="AC28" i="1"/>
  <c r="AH39" i="19"/>
  <c r="AH49" i="19"/>
  <c r="AB19" i="19"/>
  <c r="P39" i="19"/>
  <c r="V9" i="19"/>
  <c r="J19" i="19"/>
  <c r="AB39" i="19"/>
  <c r="AH19" i="19"/>
  <c r="J9" i="19"/>
  <c r="AB49" i="19"/>
  <c r="J49" i="19"/>
  <c r="AB9" i="19"/>
  <c r="AH9" i="19"/>
  <c r="J39" i="19"/>
  <c r="V19" i="19"/>
  <c r="AH29" i="19"/>
  <c r="P29" i="19"/>
  <c r="P19" i="19"/>
  <c r="AB29" i="19"/>
  <c r="J29" i="19"/>
  <c r="V39" i="19"/>
  <c r="AA41" i="1"/>
  <c r="AC41" i="1" s="1"/>
  <c r="J31" i="19"/>
  <c r="P21" i="19"/>
  <c r="V51" i="19"/>
  <c r="AB41" i="19"/>
  <c r="V41" i="19"/>
  <c r="J51" i="19"/>
  <c r="V31" i="19"/>
  <c r="AH51" i="19"/>
  <c r="AH41" i="19"/>
  <c r="AH21" i="19"/>
  <c r="AH11" i="19"/>
  <c r="J11" i="19"/>
  <c r="P41" i="19"/>
  <c r="AB11" i="19"/>
  <c r="J41" i="19"/>
  <c r="V11" i="19"/>
  <c r="J21" i="19"/>
  <c r="P51" i="19"/>
  <c r="P11" i="19"/>
  <c r="AB21" i="19"/>
  <c r="AB31" i="19"/>
  <c r="V21" i="19"/>
  <c r="P31" i="19"/>
  <c r="AB51" i="19"/>
  <c r="AH31" i="19"/>
  <c r="AA47" i="1"/>
  <c r="AA48" i="1"/>
  <c r="J32" i="19"/>
  <c r="AH42" i="19"/>
  <c r="V52" i="19"/>
  <c r="AB52" i="19"/>
  <c r="AB22" i="19"/>
  <c r="AC46" i="1"/>
  <c r="AB12" i="19"/>
  <c r="AH52" i="19"/>
  <c r="J52" i="19"/>
  <c r="J22" i="19"/>
  <c r="AH32" i="19"/>
  <c r="AH22" i="19"/>
  <c r="P12" i="19"/>
  <c r="V22" i="19"/>
  <c r="AB32" i="19"/>
  <c r="P22" i="19"/>
  <c r="AB42" i="19"/>
  <c r="V32" i="19"/>
  <c r="P42" i="19"/>
  <c r="AH12" i="19"/>
  <c r="V42" i="19"/>
  <c r="P52" i="19"/>
  <c r="J42" i="19"/>
  <c r="J12" i="19"/>
  <c r="V12" i="19"/>
  <c r="P32" i="19"/>
  <c r="AA35" i="1"/>
  <c r="V20" i="19"/>
  <c r="AH10" i="19"/>
  <c r="P10" i="19"/>
  <c r="AB50" i="19"/>
  <c r="AH40" i="19"/>
  <c r="P40" i="19"/>
  <c r="J50" i="19"/>
  <c r="J10" i="19"/>
  <c r="V40" i="19"/>
  <c r="J40" i="19"/>
  <c r="V30" i="19"/>
  <c r="AB20" i="19"/>
  <c r="AH20" i="19"/>
  <c r="P30" i="19"/>
  <c r="AH50" i="19"/>
  <c r="J30" i="19"/>
  <c r="V50" i="19"/>
  <c r="P50" i="19"/>
  <c r="V10" i="19"/>
  <c r="AB10" i="19"/>
  <c r="P20" i="19"/>
  <c r="AH30" i="19"/>
  <c r="J20" i="19"/>
  <c r="AB40" i="19"/>
  <c r="AB30" i="19"/>
  <c r="P16" i="19"/>
  <c r="V36" i="19"/>
  <c r="AH36" i="19"/>
  <c r="V26" i="19"/>
  <c r="J46" i="19"/>
  <c r="AB16" i="19"/>
  <c r="J26" i="19"/>
  <c r="AB26" i="19"/>
  <c r="AA17" i="1"/>
  <c r="J47" i="19"/>
  <c r="AC16" i="1"/>
  <c r="V17" i="19"/>
  <c r="AH27" i="19"/>
  <c r="P17" i="19"/>
  <c r="V27" i="19"/>
  <c r="AB37" i="19"/>
  <c r="AH47" i="19"/>
  <c r="AB47" i="19"/>
  <c r="P7" i="19"/>
  <c r="AH7" i="19"/>
  <c r="J27" i="19"/>
  <c r="P37" i="19"/>
  <c r="P47" i="19"/>
  <c r="V7" i="19"/>
  <c r="AB17" i="19"/>
  <c r="J37" i="19"/>
  <c r="AB27" i="19"/>
  <c r="AH37" i="19"/>
  <c r="J7" i="19"/>
  <c r="J17" i="19"/>
  <c r="P27" i="19"/>
  <c r="V37" i="19"/>
  <c r="V47" i="19"/>
  <c r="AB7" i="19"/>
  <c r="AH17" i="19"/>
  <c r="J36" i="19"/>
  <c r="V6" i="19"/>
  <c r="V16" i="19"/>
  <c r="J16" i="19"/>
  <c r="P46" i="19"/>
  <c r="P36" i="19"/>
  <c r="AH16" i="19"/>
  <c r="P26" i="19"/>
  <c r="AH26" i="19"/>
  <c r="J6" i="19"/>
  <c r="AB46" i="19"/>
  <c r="AH46" i="19"/>
  <c r="V46" i="19"/>
  <c r="AH6" i="19"/>
  <c r="P6" i="19"/>
  <c r="AA11" i="1"/>
  <c r="AC11" i="1" s="1"/>
  <c r="AC66" i="1" l="1"/>
  <c r="AJ14" i="19"/>
  <c r="AJ34" i="19"/>
  <c r="L44" i="19"/>
  <c r="X24" i="19"/>
  <c r="X54" i="19"/>
  <c r="AD54" i="19"/>
  <c r="AD44" i="19"/>
  <c r="R44" i="19"/>
  <c r="AJ54" i="19"/>
  <c r="AJ24" i="19"/>
  <c r="R14" i="19"/>
  <c r="X44" i="19"/>
  <c r="X14" i="19"/>
  <c r="AD24" i="19"/>
  <c r="R24" i="19"/>
  <c r="AJ44" i="19"/>
  <c r="R54" i="19"/>
  <c r="AD34" i="19"/>
  <c r="X34" i="19"/>
  <c r="R34" i="19"/>
  <c r="L14" i="19"/>
  <c r="L54" i="19"/>
  <c r="L34" i="19"/>
  <c r="AD14" i="19"/>
  <c r="L24" i="19"/>
  <c r="AC59" i="1"/>
  <c r="AC53" i="19"/>
  <c r="AC33" i="19"/>
  <c r="Q13" i="19"/>
  <c r="K13" i="19"/>
  <c r="AI23" i="19"/>
  <c r="AI13" i="19"/>
  <c r="K53" i="19"/>
  <c r="Q43" i="19"/>
  <c r="AI53" i="19"/>
  <c r="Q23" i="19"/>
  <c r="Q53" i="19"/>
  <c r="AC23" i="19"/>
  <c r="Q33" i="19"/>
  <c r="K23" i="19"/>
  <c r="K33" i="19"/>
  <c r="AC13" i="19"/>
  <c r="W53" i="19"/>
  <c r="AC43" i="19"/>
  <c r="W13" i="19"/>
  <c r="AI43" i="19"/>
  <c r="K43" i="19"/>
  <c r="W23" i="19"/>
  <c r="AI33" i="19"/>
  <c r="W33" i="19"/>
  <c r="W43" i="19"/>
  <c r="AB61" i="1"/>
  <c r="AA61" i="1" s="1"/>
  <c r="AA60" i="1"/>
  <c r="AC65" i="1"/>
  <c r="Q24" i="19"/>
  <c r="AC24" i="19"/>
  <c r="W34" i="19"/>
  <c r="AI14" i="19"/>
  <c r="AI44" i="19"/>
  <c r="K14" i="19"/>
  <c r="W24" i="19"/>
  <c r="AI24" i="19"/>
  <c r="W54" i="19"/>
  <c r="AC44" i="19"/>
  <c r="W44" i="19"/>
  <c r="K34" i="19"/>
  <c r="AC34" i="19"/>
  <c r="AC14" i="19"/>
  <c r="K54" i="19"/>
  <c r="Q44" i="19"/>
  <c r="AI34" i="19"/>
  <c r="AC54" i="19"/>
  <c r="Q14" i="19"/>
  <c r="AI54" i="19"/>
  <c r="W14" i="19"/>
  <c r="K44" i="19"/>
  <c r="Q54" i="19"/>
  <c r="K24" i="19"/>
  <c r="Q34" i="19"/>
  <c r="X12" i="19"/>
  <c r="X22" i="19"/>
  <c r="X52" i="19"/>
  <c r="R12" i="19"/>
  <c r="AD52" i="19"/>
  <c r="AJ52" i="19"/>
  <c r="AD42" i="19"/>
  <c r="L22" i="19"/>
  <c r="L42" i="19"/>
  <c r="AJ32" i="19"/>
  <c r="X42" i="19"/>
  <c r="R22" i="19"/>
  <c r="R42" i="19"/>
  <c r="X32" i="19"/>
  <c r="L32" i="19"/>
  <c r="AJ12" i="19"/>
  <c r="AC48" i="1"/>
  <c r="AD12" i="19"/>
  <c r="AJ42" i="19"/>
  <c r="L12" i="19"/>
  <c r="R52" i="19"/>
  <c r="AD32" i="19"/>
  <c r="L52" i="19"/>
  <c r="R32" i="19"/>
  <c r="AD22" i="19"/>
  <c r="AJ22" i="19"/>
  <c r="R39" i="19"/>
  <c r="AJ39" i="19"/>
  <c r="X39" i="19"/>
  <c r="X9" i="19"/>
  <c r="AC30" i="1"/>
  <c r="AJ9" i="19"/>
  <c r="AD39" i="19"/>
  <c r="AD9" i="19"/>
  <c r="AD49" i="19"/>
  <c r="L19" i="19"/>
  <c r="L49" i="19"/>
  <c r="X49" i="19"/>
  <c r="R29" i="19"/>
  <c r="AJ49" i="19"/>
  <c r="L29" i="19"/>
  <c r="AJ19" i="19"/>
  <c r="L39" i="19"/>
  <c r="L9" i="19"/>
  <c r="AD29" i="19"/>
  <c r="AD19" i="19"/>
  <c r="X19" i="19"/>
  <c r="R19" i="19"/>
  <c r="R49" i="19"/>
  <c r="X29" i="19"/>
  <c r="R9" i="19"/>
  <c r="AJ29" i="19"/>
  <c r="AC52" i="19"/>
  <c r="AI22" i="19"/>
  <c r="W22" i="19"/>
  <c r="Q42" i="19"/>
  <c r="K52" i="19"/>
  <c r="AC32" i="19"/>
  <c r="AC42" i="19"/>
  <c r="AI32" i="19"/>
  <c r="AC22" i="19"/>
  <c r="W42" i="19"/>
  <c r="K12" i="19"/>
  <c r="AC12" i="19"/>
  <c r="Q52" i="19"/>
  <c r="AI52" i="19"/>
  <c r="Q22" i="19"/>
  <c r="Q12" i="19"/>
  <c r="W52" i="19"/>
  <c r="K22" i="19"/>
  <c r="Q32" i="19"/>
  <c r="AI42" i="19"/>
  <c r="AC47" i="1"/>
  <c r="AI12" i="19"/>
  <c r="W32" i="19"/>
  <c r="K32" i="19"/>
  <c r="K42" i="19"/>
  <c r="W12" i="19"/>
  <c r="AC39" i="19"/>
  <c r="AI9" i="19"/>
  <c r="K29" i="19"/>
  <c r="AI29" i="19"/>
  <c r="Q29" i="19"/>
  <c r="AC49" i="19"/>
  <c r="AI49" i="19"/>
  <c r="W39" i="19"/>
  <c r="AI19" i="19"/>
  <c r="W9" i="19"/>
  <c r="Q39" i="19"/>
  <c r="AC29" i="19"/>
  <c r="K9" i="19"/>
  <c r="AC19" i="19"/>
  <c r="AC29" i="1"/>
  <c r="K19" i="19"/>
  <c r="Q49" i="19"/>
  <c r="K49" i="19"/>
  <c r="W49" i="19"/>
  <c r="W19" i="19"/>
  <c r="Q19" i="19"/>
  <c r="K39" i="19"/>
  <c r="AC9" i="19"/>
  <c r="AI39" i="19"/>
  <c r="Q9" i="19"/>
  <c r="W29" i="19"/>
  <c r="AA42" i="1"/>
  <c r="AC42" i="1" s="1"/>
  <c r="AC11" i="19"/>
  <c r="W51" i="19"/>
  <c r="K11" i="19"/>
  <c r="AI51" i="19"/>
  <c r="Q21" i="19"/>
  <c r="AC31" i="19"/>
  <c r="W41" i="19"/>
  <c r="Q31" i="19"/>
  <c r="AC51" i="19"/>
  <c r="K41" i="19"/>
  <c r="AI21" i="19"/>
  <c r="W31" i="19"/>
  <c r="AI41" i="19"/>
  <c r="AI11" i="19"/>
  <c r="K51" i="19"/>
  <c r="Q11" i="19"/>
  <c r="W11" i="19"/>
  <c r="AC41" i="19"/>
  <c r="K21" i="19"/>
  <c r="Q51" i="19"/>
  <c r="AC21" i="19"/>
  <c r="AI31" i="19"/>
  <c r="W21" i="19"/>
  <c r="K31" i="19"/>
  <c r="Q41" i="19"/>
  <c r="W50" i="19"/>
  <c r="W40" i="19"/>
  <c r="K40" i="19"/>
  <c r="Q50" i="19"/>
  <c r="AC40" i="19"/>
  <c r="W20" i="19"/>
  <c r="AI40" i="19"/>
  <c r="W30" i="19"/>
  <c r="Q20" i="19"/>
  <c r="W10" i="19"/>
  <c r="AC35" i="1"/>
  <c r="AC50" i="19"/>
  <c r="K10" i="19"/>
  <c r="K20" i="19"/>
  <c r="Q10" i="19"/>
  <c r="AC10" i="19"/>
  <c r="AC30" i="19"/>
  <c r="Q40" i="19"/>
  <c r="Q30" i="19"/>
  <c r="K30" i="19"/>
  <c r="AI10" i="19"/>
  <c r="AI50" i="19"/>
  <c r="AC20" i="19"/>
  <c r="AI20" i="19"/>
  <c r="AI30" i="19"/>
  <c r="K50" i="19"/>
  <c r="AA36" i="1"/>
  <c r="AA37" i="1"/>
  <c r="AC37" i="1" s="1"/>
  <c r="AA19" i="1"/>
  <c r="AA18" i="1"/>
  <c r="W37" i="19"/>
  <c r="AI47" i="19"/>
  <c r="K37" i="19"/>
  <c r="K7" i="19"/>
  <c r="K47" i="19"/>
  <c r="AI7" i="19"/>
  <c r="Q27" i="19"/>
  <c r="AC7" i="19"/>
  <c r="Q17" i="19"/>
  <c r="W17" i="19"/>
  <c r="AC27" i="19"/>
  <c r="W47" i="19"/>
  <c r="AI17" i="19"/>
  <c r="W27" i="19"/>
  <c r="AC47" i="19"/>
  <c r="Q37" i="19"/>
  <c r="AC17" i="1"/>
  <c r="Q47" i="19"/>
  <c r="AC37" i="19"/>
  <c r="AI27" i="19"/>
  <c r="K17" i="19"/>
  <c r="W7" i="19"/>
  <c r="AI37" i="19"/>
  <c r="Q7" i="19"/>
  <c r="K27" i="19"/>
  <c r="AC17" i="19"/>
  <c r="Q6" i="19"/>
  <c r="K16" i="19"/>
  <c r="AI16" i="19"/>
  <c r="AC46" i="19"/>
  <c r="K26" i="19"/>
  <c r="AC16" i="19"/>
  <c r="W46" i="19"/>
  <c r="AI26" i="19"/>
  <c r="Q26" i="19"/>
  <c r="K36" i="19"/>
  <c r="Q36" i="19"/>
  <c r="AC36" i="19"/>
  <c r="Q16" i="19"/>
  <c r="W6" i="19"/>
  <c r="AC26" i="19"/>
  <c r="AI6" i="19"/>
  <c r="AI46" i="19"/>
  <c r="K6" i="19"/>
  <c r="W26" i="19"/>
  <c r="K46" i="19"/>
  <c r="AI36" i="19"/>
  <c r="W36" i="19"/>
  <c r="AC6" i="19"/>
  <c r="Q46" i="19"/>
  <c r="W16" i="19"/>
  <c r="AA12" i="1"/>
  <c r="AC12" i="1" s="1"/>
  <c r="AB13" i="1"/>
  <c r="AA13" i="1" s="1"/>
  <c r="AC60" i="1" l="1"/>
  <c r="R33" i="19"/>
  <c r="L23" i="19"/>
  <c r="AJ23" i="19"/>
  <c r="AJ43" i="19"/>
  <c r="R43" i="19"/>
  <c r="X43" i="19"/>
  <c r="R53" i="19"/>
  <c r="AD33" i="19"/>
  <c r="AD53" i="19"/>
  <c r="X53" i="19"/>
  <c r="X33" i="19"/>
  <c r="AJ13" i="19"/>
  <c r="AD13" i="19"/>
  <c r="X13" i="19"/>
  <c r="R23" i="19"/>
  <c r="L53" i="19"/>
  <c r="AD43" i="19"/>
  <c r="R13" i="19"/>
  <c r="L13" i="19"/>
  <c r="L43" i="19"/>
  <c r="AJ53" i="19"/>
  <c r="AD23" i="19"/>
  <c r="X23" i="19"/>
  <c r="L33" i="19"/>
  <c r="AJ33" i="19"/>
  <c r="AC61" i="1"/>
  <c r="M13" i="19"/>
  <c r="AK43" i="19"/>
  <c r="Y53" i="19"/>
  <c r="S43" i="19"/>
  <c r="S53" i="19"/>
  <c r="S23" i="19"/>
  <c r="S13" i="19"/>
  <c r="AE43" i="19"/>
  <c r="Y33" i="19"/>
  <c r="M23" i="19"/>
  <c r="Y23" i="19"/>
  <c r="M33" i="19"/>
  <c r="AE13" i="19"/>
  <c r="Y43" i="19"/>
  <c r="AE33" i="19"/>
  <c r="M53" i="19"/>
  <c r="M43" i="19"/>
  <c r="Y13" i="19"/>
  <c r="AE23" i="19"/>
  <c r="AE53" i="19"/>
  <c r="S33" i="19"/>
  <c r="AK33" i="19"/>
  <c r="AK53" i="19"/>
  <c r="AK13" i="19"/>
  <c r="AK23" i="19"/>
  <c r="AA43" i="1"/>
  <c r="AC43" i="1" s="1"/>
  <c r="AA44" i="1"/>
  <c r="AC44" i="1" s="1"/>
  <c r="AJ11" i="19"/>
  <c r="X21" i="19"/>
  <c r="X41" i="19"/>
  <c r="AJ31" i="19"/>
  <c r="R11" i="19"/>
  <c r="R31" i="19"/>
  <c r="AD51" i="19"/>
  <c r="L41" i="19"/>
  <c r="AJ41" i="19"/>
  <c r="R41" i="19"/>
  <c r="L21" i="19"/>
  <c r="L51" i="19"/>
  <c r="AJ21" i="19"/>
  <c r="AD11" i="19"/>
  <c r="L31" i="19"/>
  <c r="AD21" i="19"/>
  <c r="R51" i="19"/>
  <c r="AD31" i="19"/>
  <c r="R21" i="19"/>
  <c r="L11" i="19"/>
  <c r="X31" i="19"/>
  <c r="AD41" i="19"/>
  <c r="X51" i="19"/>
  <c r="X11" i="19"/>
  <c r="AJ51" i="19"/>
  <c r="AE40" i="19"/>
  <c r="AK10" i="19"/>
  <c r="AE20" i="19"/>
  <c r="M50" i="19"/>
  <c r="Y30" i="19"/>
  <c r="AK30" i="19"/>
  <c r="S50" i="19"/>
  <c r="AK40" i="19"/>
  <c r="M20" i="19"/>
  <c r="S10" i="19"/>
  <c r="Y50" i="19"/>
  <c r="Y40" i="19"/>
  <c r="S40" i="19"/>
  <c r="Y20" i="19"/>
  <c r="AE30" i="19"/>
  <c r="S30" i="19"/>
  <c r="M40" i="19"/>
  <c r="Y10" i="19"/>
  <c r="AK50" i="19"/>
  <c r="M10" i="19"/>
  <c r="M30" i="19"/>
  <c r="AE10" i="19"/>
  <c r="AK20" i="19"/>
  <c r="AE50" i="19"/>
  <c r="S20" i="19"/>
  <c r="R30" i="19"/>
  <c r="AD50" i="19"/>
  <c r="AD40" i="19"/>
  <c r="L30" i="19"/>
  <c r="AC36" i="1"/>
  <c r="AJ30" i="19"/>
  <c r="R10" i="19"/>
  <c r="L10" i="19"/>
  <c r="R40" i="19"/>
  <c r="AD10" i="19"/>
  <c r="L50" i="19"/>
  <c r="X30" i="19"/>
  <c r="L20" i="19"/>
  <c r="X50" i="19"/>
  <c r="X40" i="19"/>
  <c r="AJ20" i="19"/>
  <c r="AD20" i="19"/>
  <c r="AJ10" i="19"/>
  <c r="AJ40" i="19"/>
  <c r="L40" i="19"/>
  <c r="AD30" i="19"/>
  <c r="R50" i="19"/>
  <c r="X10" i="19"/>
  <c r="R20" i="19"/>
  <c r="X20" i="19"/>
  <c r="AJ50" i="19"/>
  <c r="AD47" i="19"/>
  <c r="R17" i="19"/>
  <c r="R7" i="19"/>
  <c r="R47" i="19"/>
  <c r="AJ27" i="19"/>
  <c r="AJ17" i="19"/>
  <c r="X17" i="19"/>
  <c r="AD37" i="19"/>
  <c r="AD27" i="19"/>
  <c r="X7" i="19"/>
  <c r="AJ47" i="19"/>
  <c r="AJ7" i="19"/>
  <c r="X47" i="19"/>
  <c r="L47" i="19"/>
  <c r="AJ37" i="19"/>
  <c r="L7" i="19"/>
  <c r="R37" i="19"/>
  <c r="L27" i="19"/>
  <c r="L17" i="19"/>
  <c r="AD7" i="19"/>
  <c r="AC18" i="1"/>
  <c r="AD17" i="19"/>
  <c r="R27" i="19"/>
  <c r="X37" i="19"/>
  <c r="L37" i="19"/>
  <c r="X27" i="19"/>
  <c r="S37" i="19"/>
  <c r="Y37" i="19"/>
  <c r="M27" i="19"/>
  <c r="AE27" i="19"/>
  <c r="AE37" i="19"/>
  <c r="S47" i="19"/>
  <c r="Y47" i="19"/>
  <c r="Y27" i="19"/>
  <c r="M7" i="19"/>
  <c r="S7" i="19"/>
  <c r="M47" i="19"/>
  <c r="M37" i="19"/>
  <c r="M17" i="19"/>
  <c r="AC19" i="1"/>
  <c r="S17" i="19"/>
  <c r="AE17" i="19"/>
  <c r="AE47" i="19"/>
  <c r="AK7" i="19"/>
  <c r="AE7" i="19"/>
  <c r="AK17" i="19"/>
  <c r="AK27" i="19"/>
  <c r="Y17" i="19"/>
  <c r="AK47" i="19"/>
  <c r="S27" i="19"/>
  <c r="Y7" i="19"/>
  <c r="AK37" i="19"/>
  <c r="M36" i="19"/>
  <c r="AK26" i="19"/>
  <c r="AC13" i="1"/>
  <c r="Y6" i="19"/>
  <c r="Y36" i="19"/>
  <c r="AE46" i="19"/>
  <c r="Y16" i="19"/>
  <c r="S16" i="19"/>
  <c r="AK46" i="19"/>
  <c r="AE26" i="19"/>
  <c r="AE36" i="19"/>
  <c r="S36" i="19"/>
  <c r="AK36" i="19"/>
  <c r="AE16" i="19"/>
  <c r="S26" i="19"/>
  <c r="Y46" i="19"/>
  <c r="M6" i="19"/>
  <c r="AE6" i="19"/>
  <c r="AK16" i="19"/>
  <c r="M46" i="19"/>
  <c r="M26" i="19"/>
  <c r="Y26" i="19"/>
  <c r="S46" i="19"/>
  <c r="AK6" i="19"/>
  <c r="M16" i="19"/>
  <c r="S6" i="19"/>
  <c r="AJ26" i="19"/>
  <c r="X6" i="19"/>
  <c r="AD26" i="19"/>
  <c r="L46" i="19"/>
  <c r="X46" i="19"/>
  <c r="X26" i="19"/>
  <c r="AD16" i="19"/>
  <c r="R36" i="19"/>
  <c r="AJ36" i="19"/>
  <c r="AD36" i="19"/>
  <c r="AJ16" i="19"/>
  <c r="X36" i="19"/>
  <c r="R26" i="19"/>
  <c r="L26" i="19"/>
  <c r="R6" i="19"/>
  <c r="AD6" i="19"/>
  <c r="AD46" i="19"/>
  <c r="X16" i="19"/>
  <c r="AJ6" i="19"/>
  <c r="L6" i="19"/>
  <c r="AJ46" i="19"/>
  <c r="R46" i="19"/>
  <c r="R16" i="19"/>
  <c r="L36" i="19"/>
  <c r="L16" i="19"/>
  <c r="N21" i="19" l="1"/>
  <c r="AF41" i="19"/>
  <c r="AF31" i="19"/>
  <c r="T51" i="19"/>
  <c r="N31" i="19"/>
  <c r="N11" i="19"/>
  <c r="N51" i="19"/>
  <c r="AL11" i="19"/>
  <c r="AF51" i="19"/>
  <c r="Z41" i="19"/>
  <c r="T11" i="19"/>
  <c r="N41" i="19"/>
  <c r="AF21" i="19"/>
  <c r="Z51" i="19"/>
  <c r="AL41" i="19"/>
  <c r="AF11" i="19"/>
  <c r="AL31" i="19"/>
  <c r="T31" i="19"/>
  <c r="T21" i="19"/>
  <c r="AL21" i="19"/>
  <c r="Z11" i="19"/>
  <c r="Z31" i="19"/>
  <c r="Z21" i="19"/>
  <c r="T41" i="19"/>
  <c r="AL51" i="19"/>
  <c r="AE51" i="19"/>
  <c r="AE11" i="19"/>
  <c r="S21" i="19"/>
  <c r="Y51" i="19"/>
  <c r="Y41" i="19"/>
  <c r="AK21" i="19"/>
  <c r="M21" i="19"/>
  <c r="M11" i="19"/>
  <c r="M41" i="19"/>
  <c r="AK31" i="19"/>
  <c r="AE31" i="19"/>
  <c r="AK41" i="19"/>
  <c r="Y11" i="19"/>
  <c r="S41" i="19"/>
  <c r="Y21" i="19"/>
  <c r="AE41" i="19"/>
  <c r="S31" i="19"/>
  <c r="AE21" i="19"/>
  <c r="AK11" i="19"/>
  <c r="M31" i="19"/>
  <c r="S51" i="19"/>
  <c r="S11" i="19"/>
  <c r="M51" i="19"/>
  <c r="Y31" i="19"/>
  <c r="AK5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<sst xmlns="http://schemas.openxmlformats.org/spreadsheetml/2006/main" count="869" uniqueCount="339">
  <si>
    <t>Descripción del Riesgo</t>
  </si>
  <si>
    <t>Impacto</t>
  </si>
  <si>
    <t>Causa Inmediata</t>
  </si>
  <si>
    <t>Probabilidad</t>
  </si>
  <si>
    <t>%</t>
  </si>
  <si>
    <t>Alta</t>
  </si>
  <si>
    <t>Mayor</t>
  </si>
  <si>
    <t>Atributos</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</si>
  <si>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</si>
  <si>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</si>
  <si>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</si>
  <si>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</si>
  <si>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</si>
  <si>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</si>
  <si>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</si>
  <si>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</si>
  <si>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</si>
  <si>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</si>
  <si>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</si>
  <si>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</si>
  <si>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</si>
  <si>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</si>
  <si>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</si>
  <si>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</si>
  <si>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</si>
  <si>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</si>
  <si>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</si>
  <si>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</si>
  <si>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</si>
  <si>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</si>
  <si>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</si>
  <si>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</si>
  <si>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</si>
  <si>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</si>
  <si>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</si>
  <si>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</si>
  <si>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</si>
  <si>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</si>
  <si>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</si>
  <si>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</si>
  <si>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</si>
  <si>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</si>
  <si>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</si>
  <si>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</si>
  <si>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</si>
  <si>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</si>
  <si>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</si>
  <si>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</si>
  <si>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</si>
  <si>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</si>
  <si>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</si>
  <si>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</si>
  <si>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</si>
  <si>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</si>
  <si>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</si>
  <si>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</si>
  <si>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</si>
  <si>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</si>
  <si>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</si>
  <si>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</si>
  <si>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</si>
  <si>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</si>
  <si>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</si>
  <si>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</si>
  <si>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</si>
  <si>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</si>
  <si>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</si>
  <si>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</si>
  <si>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</si>
  <si>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</si>
  <si>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</si>
  <si>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</si>
  <si>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</si>
  <si>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</si>
  <si>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</si>
  <si>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</si>
  <si>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</si>
  <si>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</si>
  <si>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</si>
  <si>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</si>
  <si>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</si>
  <si>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</si>
  <si>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</si>
  <si>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</si>
  <si>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</si>
  <si>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</si>
  <si>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</si>
  <si>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</si>
  <si>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</si>
  <si>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</si>
  <si>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</si>
  <si>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</si>
  <si>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</si>
  <si>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</si>
  <si>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</si>
  <si>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</si>
  <si>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</si>
  <si>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</si>
  <si>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</si>
  <si>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</si>
  <si>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</si>
  <si>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</si>
  <si>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</si>
  <si>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</si>
  <si>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</si>
  <si>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</si>
  <si>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</si>
  <si>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</si>
  <si>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</si>
  <si>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</si>
  <si>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</si>
  <si>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</si>
  <si>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</si>
  <si>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</si>
  <si>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</si>
  <si>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</si>
  <si>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</si>
  <si>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</si>
  <si>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</si>
  <si>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</si>
  <si>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</si>
  <si>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</si>
  <si>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</si>
  <si>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</si>
  <si>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</si>
  <si>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</si>
  <si>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</si>
  <si>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</si>
  <si>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</si>
  <si>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</si>
  <si>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</si>
  <si>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</si>
  <si>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</si>
  <si>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</si>
  <si>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</si>
  <si>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</si>
  <si>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</si>
  <si>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</si>
  <si>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</si>
  <si>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</si>
  <si>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</si>
  <si>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</si>
  <si>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</si>
  <si>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</si>
  <si>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</si>
  <si>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</si>
  <si>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</si>
  <si>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</si>
  <si>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</si>
  <si>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</si>
  <si>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</si>
  <si>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</si>
  <si>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</si>
  <si>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</si>
  <si>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</si>
  <si>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</si>
  <si>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</si>
  <si>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</si>
  <si>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</si>
  <si>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</si>
  <si>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</si>
  <si>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</si>
  <si>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</si>
  <si>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</si>
  <si>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</si>
  <si>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</si>
  <si>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</si>
  <si>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</si>
  <si>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</si>
  <si>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</si>
  <si>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</si>
  <si>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</si>
  <si>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</si>
  <si>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</si>
  <si>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</si>
  <si>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</si>
  <si>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</si>
  <si>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</si>
  <si>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</si>
  <si>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</si>
  <si>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</si>
  <si>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</si>
  <si>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</si>
  <si>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</si>
  <si>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</si>
  <si>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</si>
  <si>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</si>
  <si>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</si>
  <si>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</si>
  <si>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</si>
  <si>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</si>
  <si>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</si>
  <si>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</si>
  <si>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</si>
  <si>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</si>
  <si>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</si>
  <si>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</si>
  <si>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</si>
  <si>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</si>
  <si>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</si>
  <si>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</si>
  <si>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</si>
  <si>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</si>
  <si>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</si>
  <si>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</si>
  <si>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</si>
  <si>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</si>
  <si>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</si>
  <si>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</si>
  <si>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</si>
  <si>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</si>
  <si>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</si>
  <si>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COMPRAS</t>
  </si>
  <si>
    <t>Identificar los riesgos del proceso de compras</t>
  </si>
  <si>
    <t>Identificar los riesgos y causas, asi como relacionar los controles que los mitigan</t>
  </si>
  <si>
    <t>naranja</t>
  </si>
  <si>
    <t>amarilla</t>
  </si>
  <si>
    <t>*Cronograma de cierre</t>
  </si>
  <si>
    <t>*Comunicación de reporte de insumos</t>
  </si>
  <si>
    <t>(*) Deficiencia de competencias éticas de los colaboradores. 
(*) Ausencia o inaplicabilidad intencionada de los controles existentes. 
(*) Desconocimiento de los riesgos asociados y de los controles aplicables, debido a la falta de entrenamiento y/o sensibilización.
(*) Interacción con servidores públicos corruptos.</t>
  </si>
  <si>
    <t>RF</t>
  </si>
  <si>
    <t># Contro</t>
  </si>
  <si>
    <r>
      <rPr>
        <b/>
        <sz val="11"/>
        <color theme="1"/>
        <rFont val="Arial Narrow"/>
        <family val="2"/>
      </rPr>
      <t>Delito fuente de LA/FT:</t>
    </r>
    <r>
      <rPr>
        <sz val="11"/>
        <color theme="1"/>
        <rFont val="Arial Narrow"/>
        <family val="2"/>
      </rPr>
      <t xml:space="preserve"> Soborno a funcionarios públicos/privados nacionales/extranjeros a cambio de obtener beneficios contractuales en el desarrollo de negocios/Proyectos. </t>
    </r>
  </si>
  <si>
    <t xml:space="preserve">Código de conducta, transparencia y ética empresarial: Prohibición general de ofrecer sobornos de cualquier naturaleza, so pena que de que se apliquen las sanciones correspondientes. </t>
  </si>
  <si>
    <t xml:space="preserve">Código de Conducta: Lineamientos generales de conducta para el relacionamiento con los diferentes grupos de interés, incluidos los relativos a la  prevención, respuesta y sanción de actividades ilicitas. </t>
  </si>
  <si>
    <r>
      <rPr>
        <b/>
        <sz val="11"/>
        <rFont val="Arial Narrow"/>
        <family val="2"/>
      </rPr>
      <t>Delito fuente de LA/FT:</t>
    </r>
    <r>
      <rPr>
        <sz val="11"/>
        <rFont val="Arial Narrow"/>
        <family val="2"/>
      </rPr>
      <t xml:space="preserve"> Centralización intencionada en la toma de decisiones, con el fin de favorecer indebidamente intereses particulares. </t>
    </r>
  </si>
  <si>
    <t xml:space="preserve">(*) Deficiencia de competencias éticas de los colaboradores. 
(*) Ausencia o inaplicabilidad intencionada de los controles existentes. 
(*) Desconocimiento de los riesgos asociados y de los controles aplicables, debido a la falta de entrenamiento y/o sensibilización.
(*) Inaplicabilidad intencionada de los controles existentes. </t>
  </si>
  <si>
    <t>(*) Deficiencia de competencias éticas de los colaboradores. 
(*) Ausencia o inaplicabilidad intencionada de los controles.
(*) Desconocimiento de los controles aplicables, debido a la falta de entrenamiento y/o sensibilización.</t>
  </si>
  <si>
    <t xml:space="preserve">Código de Buen Gobierno Corporativo: Principios y lineamientos para la adecuada dirección, monitoreo e incentivo de las empresas del Grupo . </t>
  </si>
  <si>
    <r>
      <rPr>
        <b/>
        <sz val="11"/>
        <rFont val="Arial Narrow"/>
        <family val="2"/>
      </rPr>
      <t xml:space="preserve">Omisión de control: </t>
    </r>
    <r>
      <rPr>
        <sz val="11"/>
        <rFont val="Arial Narrow"/>
        <family val="2"/>
      </rPr>
      <t>Concentración intencionada de información en una sola persona o falta de información compartida que dificulta la trazabilidad/legitimidad de los procesos</t>
    </r>
  </si>
  <si>
    <r>
      <rPr>
        <b/>
        <sz val="11"/>
        <rFont val="Arial Narrow"/>
        <family val="2"/>
      </rPr>
      <t>Destinación o uso indebido de recursos:</t>
    </r>
    <r>
      <rPr>
        <sz val="11"/>
        <rFont val="Arial Narrow"/>
        <family val="2"/>
      </rPr>
      <t xml:space="preserve"> Destinación indebida de recursos de la compañía para el financiamiento de actos de proselitismo, campañas,  partidos políticos, financiación del terrorismo</t>
    </r>
  </si>
  <si>
    <t xml:space="preserve">(*) Deficiencia de competencias éticas de los colaboradores. 
(*) Ausencia o inaplicabilidad intencionada de los controles. 
(*) Desconocimiento de los riesgos asociados y de los controles aplicables, debido a la falta de entrenamiento y/o sensibilización.
(*) Obtención de información errada, inexacta, incompleta o desactualizada durante el procedimiento de debida diligencia.
(*) Intercambio indebido de favores. </t>
  </si>
  <si>
    <r>
      <rPr>
        <b/>
        <sz val="11"/>
        <rFont val="Arial Narrow"/>
        <family val="2"/>
      </rPr>
      <t xml:space="preserve">Delito fuente de LA/FT: </t>
    </r>
    <r>
      <rPr>
        <sz val="11"/>
        <rFont val="Arial Narrow"/>
        <family val="2"/>
      </rPr>
      <t>Soborno o invitaciones a personas naturales o jurídicas, con el fin de obtener dádivas, contraprestaciones o ventajas indebidas en provecho del Grupo o de un tercero y luego ocultarlo financieramente en la contabilidad</t>
    </r>
  </si>
  <si>
    <t xml:space="preserve">(*) Deficiencia de competencias éticas de los colaboradores. 
(*) Ausencia o inaplicabilidad intencionada de los controles.
(*) Desconocimiento de los riesgos asociados y de los controles aplicables, debido a la falta de entrenamiento y/o sensibilización.
(*) Interacción con clientes, proveedores, competidores, comunidades o colaboradores corruptos.
(*) Presión económica del colaborador. </t>
  </si>
  <si>
    <t xml:space="preserve">Política de Gastos de Representación, Invitaciones, Regalos y Patrocinios: Lineamientos para la definición de la procedencia y límites de los gastos de representación, invitaciones, regalos y patrocinios. </t>
  </si>
  <si>
    <r>
      <rPr>
        <b/>
        <sz val="11"/>
        <rFont val="Arial Narrow"/>
        <family val="2"/>
      </rPr>
      <t xml:space="preserve">Falta de imparcialidad en la toma de decisiones:  </t>
    </r>
    <r>
      <rPr>
        <sz val="11"/>
        <rFont val="Arial Narrow"/>
        <family val="2"/>
      </rPr>
      <t xml:space="preserve">Pérdida de objetividad para la toma de decisiones como consecuencia de la existencia de conflictos de intereses. </t>
    </r>
  </si>
  <si>
    <t xml:space="preserve">(*)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t>
  </si>
  <si>
    <t xml:space="preserve">Código de conducta, transparencia y ética empresarial: Lineamientos generales de conducta para el relacionamiento con los diferentes grupos de interés, incluidos los relativos a la  prevención, respuesta y sanción de actividades ilicitas. </t>
  </si>
  <si>
    <t xml:space="preserve">Código de conducta, transparencia y ética empresarial: Lineamientos generales de conducta para el relacionamiento con los diferentes grupos de interés, incluidos los relativos a la declaración y gestión de conflictos de intereses. </t>
  </si>
  <si>
    <t xml:space="preserve">Código de conducta, transparencia y ética empresarial: Evaluación y justificación de la existencia del conflicto de interés a partir de criterios previamente definidos. </t>
  </si>
  <si>
    <t>Declaración juramentada de situaciones que constituyan posibles conflictos de interes: Declaración expresa de potenciales conflictos de intereses de los colaboradores.</t>
  </si>
  <si>
    <r>
      <rPr>
        <b/>
        <sz val="11"/>
        <rFont val="Arial Narrow"/>
        <family val="2"/>
      </rPr>
      <t>Delito fuente de LA/FT:</t>
    </r>
    <r>
      <rPr>
        <sz val="11"/>
        <rFont val="Arial Narrow"/>
        <family val="2"/>
      </rPr>
      <t xml:space="preserve"> Alterar u ocultar la información real del desempeño de los procesos,  planes, programas y estrategias corporativas en beneficio propio o de un tercero. </t>
    </r>
  </si>
  <si>
    <t xml:space="preserve">(*) Deficiencia de competencias éticas de los colaboradores. 
(*) Concentración de funciones en un único responsable. 
(*) Predilección de los intereses particulares  sobre los intereses del Grupo.
(*) Coacción o constreñimento por parte de terceros. </t>
  </si>
  <si>
    <t>Código de conducta, transparencia y ética empresarial: Estructura de control de gestión de la organización (reuniones, comités, entre otros)</t>
  </si>
  <si>
    <r>
      <rPr>
        <b/>
        <sz val="11"/>
        <rFont val="Arial Narrow"/>
        <family val="2"/>
      </rPr>
      <t xml:space="preserve">Celebración de contratos / alianzas con socios de negocio con alto riesgo de LA/FT: </t>
    </r>
    <r>
      <rPr>
        <sz val="11"/>
        <rFont val="Arial Narrow"/>
        <family val="2"/>
      </rPr>
      <t>Establecer relaciones comerciales/contractuales con socios de negocio que tengan malas prácticas y/o estén asociados a conductas de LA/FT.</t>
    </r>
  </si>
  <si>
    <t>(*) Ausencia o inaplicabilidad intencionada de los controles existentes. 
(*) Desconocimiento de los riesgos asociados y de los controles aplicables, debido a la falta de entrenamiento y/o sensibilización.
(*) Obtención de información errada, inexacta, incompleta o desactualizada durante el procedimiento de debida diligencia.</t>
  </si>
  <si>
    <t xml:space="preserve">Instructivo para el conocimiento de las contrapartes: Debida diligencia a los actuales y potenciales socios de negocio y/o aliados estratégicos, con el fin de evaluar el nivel de riesgo de relacionamiento y establecer medidas para su gestión. </t>
  </si>
  <si>
    <r>
      <rPr>
        <b/>
        <sz val="11"/>
        <rFont val="Arial Narrow"/>
        <family val="2"/>
      </rPr>
      <t>Manipulación de información:</t>
    </r>
    <r>
      <rPr>
        <sz val="11"/>
        <rFont val="Arial Narrow"/>
        <family val="2"/>
      </rPr>
      <t xml:space="preserve"> Ocultar, alterar u omitir el reporte de los hallazgos observados y/o el contenido de los informes derivados de los mecanismos de vigilancia preventiva de la organización (auditorías internas; debidas diligencias; línea de ética; entre otros), en provecho propio o de un tercero.</t>
    </r>
  </si>
  <si>
    <t xml:space="preserve">(*) Deficiencia de competencias éticas de los colaboradores. 
(*) Ausencia o inaplicabilidad intencionada de los controles. 
(*) Concentración de funciones en un único responsable. 
(*) Predilección de los intereses particulares  sobre los intereses del Grupo.
(*) Coacción o constreñimento por parte de terceros. 
(*) Encubrimiento de conductas ilícitas. </t>
  </si>
  <si>
    <t xml:space="preserve">Documentación de los mecanismos de vigilancia preventiva: Resultados de debida diligencia y auditoría internas documentados en informes de acceso/consulta restringida. </t>
  </si>
  <si>
    <t xml:space="preserve">Línea ética: Mecanismo de reporte de posibles irregularidades y/o infracciones al Código de Conducta del Grupo , incluido el falso reporte / Documentación alterada de los reportes recibidos </t>
  </si>
  <si>
    <t xml:space="preserve">Mecanismos de rendición de cuentas: Rendición de cuentas de la Función de cumplimiento antisoborno ante el Órgano de Gobierno y la Presidencia, en: Comité de Auditoría, Riesgos y Cumplimiento; Comité Directivo; y Asamblea de Accionistas. </t>
  </si>
  <si>
    <t>Manipulación de información:Alterar u ocultar información relacionada con el proceso de evaluación y seguimiento a las investigaciones de casos asociados a LA/FT</t>
  </si>
  <si>
    <t xml:space="preserve">Documentación del procedimiento de investigación de reportes: Rendición de cuentas de la Función de cumplimiento antisoborno ante el Órgano de Gobierno y la Presidencia, en: Comité de Auditoría, Riesgos y Cumplimiento; Comité Directivo; y Asamblea de Accionistas. </t>
  </si>
  <si>
    <t>Mecanismos de rendición de cuentas: Reportes del OC en las siguientes instancias: Comité de Auditoría, y Junta Directiva.</t>
  </si>
  <si>
    <r>
      <rPr>
        <b/>
        <sz val="11"/>
        <rFont val="Arial Narrow"/>
        <family val="2"/>
      </rPr>
      <t>Manipulación de información:</t>
    </r>
    <r>
      <rPr>
        <sz val="11"/>
        <rFont val="Arial Narrow"/>
        <family val="2"/>
      </rPr>
      <t xml:space="preserve"> Manipulación intencionada sobre los procesos de investigación de los casos de LA/FT, en beneficio propio o de un tercero.</t>
    </r>
  </si>
  <si>
    <t xml:space="preserve">(*) Deficiencia de competencias éticas de los colaboradores. 
(*) Ausencia o inaplicabilidad intencionada de los controles. 
(*) Concentración de funciones en un único responsable. 
(*) Predilección de los intereses particulares  sobre los intereses del Grupo.
(*) Coacción o constreñimento por parte de terceros. </t>
  </si>
  <si>
    <r>
      <rPr>
        <b/>
        <sz val="11"/>
        <rFont val="Arial Narrow"/>
        <family val="2"/>
      </rPr>
      <t>Delito fuente de LA/FT:</t>
    </r>
    <r>
      <rPr>
        <sz val="11"/>
        <rFont val="Arial Narrow"/>
        <family val="2"/>
      </rPr>
      <t xml:space="preserve"> Soborno a autoridades administrativas/judiciales directamente y/o a través de terceros, con el fin de influir en procesos de naturaleza judicial y/o administrativa relacionadas con LA/FT. </t>
    </r>
  </si>
  <si>
    <t xml:space="preserve">(*) Deficiencia de competencias éticas de los colaboradores. 
(*) Ausencia o inaplicabilidad intencionada de los controles sobre proveedores de servicios legales.
(*) Desconocimiento de los riesgos asociados y de los controles aplicables, debido a la falta de entrenamiento y/o sensibilización.
(*) Interacción con servidores públicos corruptos. </t>
  </si>
  <si>
    <t xml:space="preserve">Evaluación de proveedores de servicios de asesoría y representación jurídica: Evaluación objetiva para la selección de proveedores de servicios de asesoría y representación jurídica. </t>
  </si>
  <si>
    <r>
      <rPr>
        <b/>
        <sz val="11"/>
        <rFont val="Arial Narrow"/>
        <family val="2"/>
      </rPr>
      <t>Delito fuente de LA/FT:</t>
    </r>
    <r>
      <rPr>
        <sz val="11"/>
        <rFont val="Arial Narrow"/>
        <family val="2"/>
      </rPr>
      <t xml:space="preserve"> Corrupción con contrapartes o terceros directa/indirectamente para el beneficio de la organización en asuntos contractuales, para luego darle apariencia de legalidad en la contabilidad de la organización.</t>
    </r>
  </si>
  <si>
    <t xml:space="preserve">(*) Deficiencia de competencias éticas de los colaboradores. 
(*) Ausencia o inaplicabilidad intencionada de los controles existentes.
(*) Interacción con terceras partes corruptas. 
(*) Coacción o constreñimiento por parte de terceros. </t>
  </si>
  <si>
    <r>
      <rPr>
        <b/>
        <sz val="11"/>
        <rFont val="Arial Narrow"/>
        <family val="2"/>
      </rPr>
      <t>Celebración de contratos / alianzas con contrapartes de riesgo:</t>
    </r>
    <r>
      <rPr>
        <sz val="11"/>
        <rFont val="Arial Narrow"/>
        <family val="2"/>
      </rPr>
      <t xml:space="preserve"> Contratación de personal con deficiencias en competencias éticas o con antecedentes relacionados con actividades ilicitas</t>
    </r>
  </si>
  <si>
    <t xml:space="preserve">(*) Ausencia o inaplicabilidad intencionada de los controles existentes. 
(*) Desconocimiento de los riesgos asociados y de los controles aplicables, debido a la falta de entrenamiento y/o sensibilización.
(*) Obtención de información errada, inexacta, incompleta o desactualizada durante el procedimiento de debida diligencia.
(*) Amiguismo. </t>
  </si>
  <si>
    <t xml:space="preserve">Identificación de cargos sensibles: Determinación de posiciones sensibles o de riesgo. </t>
  </si>
  <si>
    <t xml:space="preserve">Conocimiento de las contrapartes / Procedimeinto de debida diligencia: Debida diligencia de aspirantes y/o portenciales colaboradores, con el fin de evaluar el nivel de riesgo de relacionamiento y establecer medidas para su gestión. </t>
  </si>
  <si>
    <r>
      <rPr>
        <b/>
        <sz val="11"/>
        <rFont val="Arial Narrow"/>
        <family val="2"/>
      </rPr>
      <t>Falta de imparcialidad en la toma de decisiones:</t>
    </r>
    <r>
      <rPr>
        <sz val="11"/>
        <rFont val="Arial Narrow"/>
        <family val="2"/>
      </rPr>
      <t xml:space="preserve"> Omisión del reporte de conflictos de intereses y/o situación de PEP por parte de funcionarios que ejecutan los procesos de selección y/o contratación.</t>
    </r>
  </si>
  <si>
    <t xml:space="preserve">(*)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 Amiguismo. </t>
  </si>
  <si>
    <t xml:space="preserve">Cláusulas contractuales de declaración de conflictos de intereses: Obligación de los colaboradores de declarar sus conflictos de interés.  </t>
  </si>
  <si>
    <t xml:space="preserve">Check List Verificación continuidad al proceso de contratación (conflictos de intereses): Supervisión del cumplimiento del deber de declaración de conflictos de intereses durante el proceso de contratación de colaboradores. </t>
  </si>
  <si>
    <t>Declaración de conflictos en el formato: Declaración de conflictos de interés de los colaboradores del área de Talento Humano en relación con los aspirantes o potenciales colaboradores.</t>
  </si>
  <si>
    <r>
      <rPr>
        <b/>
        <sz val="11"/>
        <rFont val="Arial Narrow"/>
        <family val="2"/>
      </rPr>
      <t>Falso reporte:</t>
    </r>
    <r>
      <rPr>
        <sz val="11"/>
        <rFont val="Arial Narrow"/>
        <family val="2"/>
      </rPr>
      <t xml:space="preserve"> vinculación de personal con soportes de educación, formación y/o experiencia falsos o adulterado en beneficio propio o de un tercero.</t>
    </r>
  </si>
  <si>
    <t xml:space="preserve">(*) Deficiencia de competencias éticas de los colaboradores. 
(*) Ausencia o inaplicabilidad intencionada de los controles. 
(*) Predilección de intereses particulares sobre los intereses del Grupo. 
(*) Coacción o constreñimento por parte de terceros. 
(*) Amiguismo. </t>
  </si>
  <si>
    <t xml:space="preserve">Procedimeinto de debida diligencia: Debida diligencia de aspirantes y/o potenciales colaboradores preseleccionados, con el fin de evaluar el nivel de riesgo de relacionamiento y establecer medidas para su gestión. </t>
  </si>
  <si>
    <r>
      <rPr>
        <b/>
        <sz val="11"/>
        <rFont val="Arial Narrow"/>
        <family val="2"/>
      </rPr>
      <t xml:space="preserve">Delito fuente de LA/FT: </t>
    </r>
    <r>
      <rPr>
        <sz val="11"/>
        <rFont val="Arial Narrow"/>
        <family val="2"/>
      </rPr>
      <t xml:space="preserve">Favorecimiento indebido de proponentes en la contratación de bienes o servicios. </t>
    </r>
  </si>
  <si>
    <t xml:space="preserve">Procedimeinto de debida diligencia: Debida diligencia de proveedores, con el fin de evaluar el nivel de riesgo de relacionamiento y establecer medidas para su gestión. </t>
  </si>
  <si>
    <t>Declaración de conflictos de interés: Declaración de conflictos de interés de los proveedores</t>
  </si>
  <si>
    <r>
      <rPr>
        <b/>
        <sz val="11"/>
        <rFont val="Arial Narrow"/>
        <family val="2"/>
      </rPr>
      <t>Falta de imparcialidad en la toma de decisiones:</t>
    </r>
    <r>
      <rPr>
        <sz val="11"/>
        <rFont val="Arial Narrow"/>
        <family val="2"/>
      </rPr>
      <t xml:space="preserve"> Potencial conflicto de interés entre el oferente/proveedor y las áreas solicitantes.</t>
    </r>
  </si>
  <si>
    <t xml:space="preserve">Aprobación técnica de la compra: Evaluación  técnica de la necesidad del requerimiento o compra. </t>
  </si>
  <si>
    <t>Límites de aprobación del gasto para la adquisición de bienes y/o servicios: Límites de autoridad definidos para la aprobación de las compras dependiendo de la cuantía.</t>
  </si>
  <si>
    <t xml:space="preserve">Procesos de compra con tres (3) oferentes como mínimo: Obligación de contar con pluralidad de oferentes durante el proceso de selección de proveedores. </t>
  </si>
  <si>
    <r>
      <rPr>
        <b/>
        <sz val="11"/>
        <rFont val="Arial Narrow"/>
        <family val="2"/>
      </rPr>
      <t>Celebración de contratos / alianzas con contrapartes de riesgo:</t>
    </r>
    <r>
      <rPr>
        <sz val="11"/>
        <rFont val="Arial Narrow"/>
        <family val="2"/>
      </rPr>
      <t xml:space="preserve"> Contratación de proveedores con antecedentes y/o mención en medios relacionados con actividades ilicitas</t>
    </r>
  </si>
  <si>
    <r>
      <rPr>
        <b/>
        <sz val="11"/>
        <rFont val="Arial Narrow"/>
        <family val="2"/>
      </rPr>
      <t>Delito fuente de LA/FT:</t>
    </r>
    <r>
      <rPr>
        <sz val="11"/>
        <rFont val="Arial Narrow"/>
        <family val="2"/>
      </rPr>
      <t xml:space="preserve"> Efectuar compras y/o adquisición de bienes y servicios sin los soportes requeridos, tales como, facturas, contratos, polizas, garantias, entre otras</t>
    </r>
  </si>
  <si>
    <t>(*) Deficiencia de competencias éticas de los colaboradores. 
(*) Ausencia o inaplicabilidad intencionada de los controles. 
(*) Predilección de intereses particulares sobre los intereses del Grupo. 
(*) Coacción o constreñimento por parte de terceros. 
(*) Amiguismo. 
(*) Precio muy por debajo del valor del mercado</t>
  </si>
  <si>
    <r>
      <rPr>
        <b/>
        <sz val="11"/>
        <rFont val="Arial Narrow"/>
        <family val="2"/>
      </rPr>
      <t>Delito fuente de LA/FT</t>
    </r>
    <r>
      <rPr>
        <sz val="11"/>
        <rFont val="Arial Narrow"/>
        <family val="2"/>
      </rPr>
      <t xml:space="preserve">: Soborno por parte de proveedores a colaboradores para omitir controles, recibir un beneficio propio o de un tercero, dandole apariencia de legalidad por medio de la contratación con la empresa. </t>
    </r>
  </si>
  <si>
    <t xml:space="preserve">(*) Deficiencia de competencias éticas de los colaboradores. 
(*) Ausencia o inaplicabilidad intencionada de los controles.
(*) Desconocimiento de los riesgos asociados y de los controles aplicables, debido a la falta de entrenamiento y/o sensibilización.
(*) Interacción con proveedores corruptos.
(*) Presión económica del colaborador. </t>
  </si>
  <si>
    <t>Manual SAGRILAFT: Lineamientos generales para la prevención del LA/FT</t>
  </si>
  <si>
    <r>
      <rPr>
        <b/>
        <sz val="11"/>
        <rFont val="Arial Narrow"/>
        <family val="2"/>
      </rPr>
      <t>Celebración de contratos / alianzas con contrapartes de riesgo:</t>
    </r>
    <r>
      <rPr>
        <sz val="11"/>
        <rFont val="Arial Narrow"/>
        <family val="2"/>
      </rPr>
      <t xml:space="preserve"> Acuerdo clandestino e indebido en la definición de las oportunidades de negocios con los clientes potenciales para el beneficio propio o de un tercero.</t>
    </r>
  </si>
  <si>
    <t xml:space="preserve">(*) Deficiencia de competencias éticas de los colaboradores. 
(*) Ausencia o inaplicabilidad intencionada de los controles.
(*) Interacción con clientes corruptos.
(*) Presión económica del colaborador. </t>
  </si>
  <si>
    <t xml:space="preserve">Código de conducta, transparencia y ética empresarial: Lineamientos generales de conducta para el relacionamiento contrapartes y/o grupos de interés, incluidos potenciales clientes. </t>
  </si>
  <si>
    <t xml:space="preserve">Política de Gastos de Representación, Invitaciones, Regalos y Patrocinios (Código): Lineamientos para la definición de la procedencia y límites de lo gastos de representación, invitaciones, regalos y patrocinios. </t>
  </si>
  <si>
    <r>
      <rPr>
        <b/>
        <sz val="11"/>
        <rFont val="Arial Narrow"/>
        <family val="2"/>
      </rPr>
      <t>Delito fuente de LA/FT:</t>
    </r>
    <r>
      <rPr>
        <sz val="11"/>
        <rFont val="Arial Narrow"/>
        <family val="2"/>
      </rPr>
      <t xml:space="preserve"> soborno con el fin de favorecer aceptación de una propuesta de negocios al interior de la organización en beneficio propio o de un tercero. </t>
    </r>
  </si>
  <si>
    <t xml:space="preserve">(*) Deficiencia de competencias éticas de los colaboradores. 
(*) Ausencia o inaplicabilidad intencionada de los controles.
(*) Desconocimiento de los riesgos asociados y  de los controles aplicables, debido a la falta de entrenamiento y/o sensibilización.
(*) Interacción con proveedores corruptos.
(*) Presión económica del colaborador. 
(*) Coacción o constreñimiento por parte de terceros. </t>
  </si>
  <si>
    <t>Publicidad de las oportunidades de negocio: Socialización de las oportunidades de negocio/licitación al interior de la compañía</t>
  </si>
  <si>
    <r>
      <rPr>
        <b/>
        <sz val="11"/>
        <rFont val="Arial Narrow"/>
        <family val="2"/>
      </rPr>
      <t>Delito fuente de LA/FT:</t>
    </r>
    <r>
      <rPr>
        <sz val="11"/>
        <rFont val="Arial Narrow"/>
        <family val="2"/>
      </rPr>
      <t xml:space="preserve"> Soborno a funcionarios públicos/privados nacionales/extranjeros a cambio de obtener un beneficio en el desarrollo del negocio o transacción internacional, de forma directa o indirecta.</t>
    </r>
  </si>
  <si>
    <t xml:space="preserve">(*) Deficiencia de competencias éticas de los colaboradores. 
(*) Ausencia o inaplicabilidad intencionada de los controles.
(*) Interacción con clientes corruptos.
(*) Presión económica del colaborador.
(*) Coacción o constreñimiento por parte de terceros.  </t>
  </si>
  <si>
    <t xml:space="preserve">Código de conducta, transparencia y ética empresarial: Lineamientos generales de conducta para el relacionamiento con los diferentes grupos de interés, incluidos los relativos a la  prevención, respuesta y sanción del soborno. </t>
  </si>
  <si>
    <r>
      <t xml:space="preserve">Manipulación de información: </t>
    </r>
    <r>
      <rPr>
        <sz val="11"/>
        <rFont val="Arial Narrow"/>
        <family val="2"/>
      </rPr>
      <t>Inclusión de gastos no autorizados en el presupuesto de los proyectos para el favorecimiento propio o de un tercero.</t>
    </r>
  </si>
  <si>
    <t xml:space="preserve">(*) Deficiencia de competencias éticas de los colaboradores. 
(*) Ausencia o inaplicabilidad intencionada de los controles.
(*) Desconocimiento de los riesgos asociados y de los controles aplicables, debido a la falta de entrenamiento y/o sensibilización.
(*) Interacción con terceros corruptos.
(*) Coacción o constreñimiento por parte de terceros. </t>
  </si>
  <si>
    <r>
      <rPr>
        <b/>
        <sz val="11"/>
        <rFont val="Arial Narrow"/>
        <family val="2"/>
      </rPr>
      <t>Manipulación de información:</t>
    </r>
    <r>
      <rPr>
        <sz val="11"/>
        <rFont val="Arial Narrow"/>
        <family val="2"/>
      </rPr>
      <t xml:space="preserve"> Manipulación/alteración de la información técnica/administrativa e informes de seguimiento a contratos/proyectos registrados en los sistemas de información.</t>
    </r>
  </si>
  <si>
    <t xml:space="preserve">(*) Deficiencia de competencias éticas de los colaboradores. 
(*) Ausencia o inaplicabilidad intencionada de controles. 
(*) Concentración de funciones en un único responsable. 
(*) Predilección de intereses particulares  sobre los intereses del Grupo.
(*) Coacción o constreñimento por parte de terceros. </t>
  </si>
  <si>
    <t xml:space="preserve">Información compartida/controlada en repositorios oficiales de la organización: Almacenamiento de la información técnica / administrativa e informes de seguimiento a contratos / proyectos en sistemas de información con límites y permisos de acceso definidos. </t>
  </si>
  <si>
    <r>
      <rPr>
        <b/>
        <sz val="11"/>
        <rFont val="Arial Narrow"/>
        <family val="2"/>
      </rPr>
      <t>Omisión de control:</t>
    </r>
    <r>
      <rPr>
        <sz val="11"/>
        <rFont val="Arial Narrow"/>
        <family val="2"/>
      </rPr>
      <t xml:space="preserve"> Ejecución de contratos/proyectos sin el seguimiento/control requerido y liquidación/cierre de contratos de forma irregular para beneficio propio o de un tercero.</t>
    </r>
  </si>
  <si>
    <t xml:space="preserve">(*) Deficiencia de competencias éticas de los colaboradores. 
(*) Ausencia o inaplicabilidad intencionada de controles. 
(*) Predilección de intereses particulares  sobre los intereses del Grupo.
(*) Coacción o constreñimento por parte de terceros. </t>
  </si>
  <si>
    <t xml:space="preserve">Informes de Gestión de los Proyectos: Documentación periódica de los avances y/o progreso de los proyectos por parte de los responsables. </t>
  </si>
  <si>
    <r>
      <rPr>
        <b/>
        <sz val="11"/>
        <rFont val="Arial Narrow"/>
        <family val="2"/>
      </rPr>
      <t xml:space="preserve">Destinación o uso indebido de recursos: </t>
    </r>
    <r>
      <rPr>
        <sz val="11"/>
        <rFont val="Arial Narrow"/>
        <family val="2"/>
      </rPr>
      <t>Emisión irregular de pagos desde cuentas de la organización a personas relacionadas con LA/FT en beneficio propio o de un tercero</t>
    </r>
  </si>
  <si>
    <t xml:space="preserve">(*)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 Coacción o constreñimiento por parte de terceros. 
(*) Encubrimiento de conductas ilícitas. </t>
  </si>
  <si>
    <t xml:space="preserve">Segregación de funciones/responsabilidades en la emisión de los pagos: Segregación de funciones entre el área solicitante del bien y/o servicios, el área de compras y el área financiera, de tal forma que un área ejerce control sobre las demás. </t>
  </si>
  <si>
    <t>Encriptación del archivo plano remitido a entidad bancaria: Cifrado de los archivos que contienen la información bancaria suministrada por contrapartes para la realización de pagos a su favor.</t>
  </si>
  <si>
    <t>Controles financieros en aprobación cruzada de los pagos: Aprobación cruzada de los pagos efectuados desde las cuentas de las empresas del Grupo</t>
  </si>
  <si>
    <r>
      <rPr>
        <b/>
        <sz val="11"/>
        <rFont val="Arial Narrow"/>
        <family val="2"/>
      </rPr>
      <t>Falso reporte:</t>
    </r>
    <r>
      <rPr>
        <sz val="11"/>
        <rFont val="Arial Narrow"/>
        <family val="2"/>
      </rPr>
      <t xml:space="preserve"> Registro contable de hechos económicos fraudulentos u obligaciones inexistentes en beneficio propio o de un tercero. </t>
    </r>
  </si>
  <si>
    <t>Responsabilidades definidas asignadas (i) al solicitante, (ii) al comprador del bien/servicio, y (ii) al aprobador técnico/financiero del gasto: Segregación de funciones entre el área solicitante del bien y/o servicios, el área de compras y el área financiera, de tal forma que el área solicitante debe verificar la adquisición de todo bien / servicio adquirido a su favor.</t>
  </si>
  <si>
    <t>Radicación y verificación de los soportes que ratifican la adquisición del bien o servicio: Supervisión sobre los documentos y/o registros que permiten evidenciar la efectiva prestación y/o suministro del bien / servicio.</t>
  </si>
  <si>
    <r>
      <rPr>
        <b/>
        <sz val="11"/>
        <rFont val="Arial Narrow"/>
        <family val="2"/>
      </rPr>
      <t>Falso reporte:</t>
    </r>
    <r>
      <rPr>
        <sz val="11"/>
        <rFont val="Arial Narrow"/>
        <family val="2"/>
      </rPr>
      <t xml:space="preserve"> Legalización fraudulenta de pagos no autorizados o desconocidos por la organización que se relacionan en el reintegro de gastos </t>
    </r>
  </si>
  <si>
    <t xml:space="preserve">Cadena de aprobación de pagos: Verificación y aprobación consecutiva de los gastos reembolsables por concepto de viáticos y gastos de representación. </t>
  </si>
  <si>
    <r>
      <rPr>
        <b/>
        <sz val="11"/>
        <rFont val="Arial Narrow"/>
        <family val="2"/>
      </rPr>
      <t>Falso reporte</t>
    </r>
    <r>
      <rPr>
        <sz val="11"/>
        <rFont val="Arial Narrow"/>
        <family val="2"/>
      </rPr>
      <t xml:space="preserve">: Relación de pagos no autorizados por concepto de gastos de caja menor. </t>
    </r>
  </si>
  <si>
    <t xml:space="preserve">Procedimiento de Caja Menor:
* Lineamientos para la solicitud, apertura y cierre de cajas menores en las empresas del Grupo . 
* Delimitación de los bienes y/o servicios autorizados que pueden ser pagados a través de caja menor. / Límites de montos para el pago en efectivo a través de caja menor. </t>
  </si>
  <si>
    <r>
      <rPr>
        <b/>
        <sz val="11"/>
        <rFont val="Arial Narrow"/>
        <family val="2"/>
      </rPr>
      <t>Uso indebido de la información:</t>
    </r>
    <r>
      <rPr>
        <sz val="11"/>
        <rFont val="Arial Narrow"/>
        <family val="2"/>
      </rPr>
      <t xml:space="preserve"> Acceder sin autorización a los sistemas de información de la organización para su uso indebido en beneficio propio o de un tercero.</t>
    </r>
  </si>
  <si>
    <t xml:space="preserve">(*)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 Medidas de seguridad tecnológicas débiles y/o insuficientes. 
(*) Coacción o constreñimiento por parte de terceros. 
</t>
  </si>
  <si>
    <t xml:space="preserve">Identificación de herramientas informáticas y/o softwares críticos: Identificación de herramientas informáticas y/o softwares críticos empleadas por el Grupo , de acuerdo a la naturaleza de la información almacenada en ellas. </t>
  </si>
  <si>
    <t xml:space="preserve">Definición de roles / perfiles de acceso a los sistemas de información: Delimitación de permisos de acceso al sistema de acuerdo al rol/ perfil, previa aprobación del jefe inmediato.
Delimitación de permisos de acceso a repositorios de información de acuerdo al rol/ perfil. </t>
  </si>
  <si>
    <t>Autorización de acceso a repositorio de información: Control de acceso a los carpetas disponibles por autorización de Jefe Inmediato (repositorio documental de la información por procesos).</t>
  </si>
  <si>
    <r>
      <rPr>
        <b/>
        <sz val="11"/>
        <rFont val="Arial Narrow"/>
        <family val="2"/>
      </rPr>
      <t xml:space="preserve">Manipulación de información: </t>
    </r>
    <r>
      <rPr>
        <sz val="11"/>
        <rFont val="Arial Narrow"/>
        <family val="2"/>
      </rPr>
      <t>Adulterar, modificar, sustraer o eliminar datos o información sensible, confidencial, crítica en beneficio propio o de terceros cuando este relacionada con un caso de soborno, corrupción, fraude, LAFT</t>
    </r>
  </si>
  <si>
    <t>(*)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 Medidas de seguridad tecnológicas débiles y/o insuficientes. 
(*) Coacción o constreñimiento por parte de terceros. 
(*) Encubrimiento de actividades ilícitas.</t>
  </si>
  <si>
    <t xml:space="preserve"> Trazabilidad de la manipulación de los datos/documentos en los sistemas sensibles de información (logs): Registro de las modificaciones y/o cambios realizados en los sistemas sensibles de información. </t>
  </si>
  <si>
    <r>
      <rPr>
        <b/>
        <sz val="11"/>
        <rFont val="Arial Narrow"/>
        <family val="2"/>
      </rPr>
      <t xml:space="preserve">Uso indebido de la información: </t>
    </r>
    <r>
      <rPr>
        <sz val="11"/>
        <rFont val="Arial Narrow"/>
        <family val="2"/>
      </rPr>
      <t>Remitir información sensible, confidencial, crítica a un tercero para beneficio propio o de un tercero por un posible caso dede soborno, corrupción, fraude, LAFT</t>
    </r>
  </si>
  <si>
    <t>(*) Deficiencia de competencias éticas de los colaboradores. 
(*) Ausencia o inaplicabilidad intencionada de los controles.
(*) Desconocimiento de los riesgos asociados y de los controles aplicables, debido a la falta de entrenamiento y/o sensibilización.
(*) Predilección de intereses particulares sobre los intereses del Grupo. 
(*) Coacción o constreñimiento por parte de terceros. 
(*) Encubrimiento de actividades ilícitas.</t>
  </si>
  <si>
    <t xml:space="preserve">Acuerdo de Confidencialidad suscrita entre  y el trabajador: Lineamientos que rigen el deber de confidencialidad de los colaboradores del área </t>
  </si>
  <si>
    <t xml:space="preserve">Mecanismos de custodia de archivos físicos y digitales: Barreras en el acceso a la información por medio de la custodia  de los archivos físicos a cargo de  un tercero (Archivo Central) y  respaldo de la información digital </t>
  </si>
  <si>
    <t xml:space="preserve"> Manual Matriz Delegación de Autoridad Grupo: Definición de capacidad  y límites de toma de decisiones de los colaboradores del Grupo en función a su posición.</t>
  </si>
  <si>
    <t xml:space="preserve">Política para acuerdos con socios comerciales: Medidas para la adecuada gestión del riesgo de relacionamiento con potenciales socios / aliados comerciales en el marco de la creación de consorcios o uniones temporales. </t>
  </si>
  <si>
    <t>Estudios de seguridad: Estudios de seguridad realizados por un tercero especializado a candidatos pre-seleccionados a cargos de riesgo.</t>
  </si>
  <si>
    <t>Estudios de seguridad: Estudios de seguridad realizados por un tercero especializado a candidatos pre-seleccionados.</t>
  </si>
  <si>
    <t xml:space="preserve"> Segregación de las funciones de compra y adjudicación: Separación de funciones entre quien solicita el bien/servicio (área/proceso solicitante) y quien lo adjudica (área de compras).
Evaluación de desempeño del proveedor: Verificación de la efectividad del servicio ejecutado y/o del bien adquirido.
Generación de alarmas por análisis transaccionales de pagos a terceros.: 
Identificación de banderas rojas frente a Proyectos transaccionales inusuales o sospechosas con proveedores.</t>
  </si>
  <si>
    <t xml:space="preserve">Procedimiento de aprobación de facturación: Declaración de conflictos de interés de los proveedores. </t>
  </si>
  <si>
    <t xml:space="preserve">Medios oficiales de comunicación con clientes potenciales. : Definición de los mecanismos y responsables autorizados para la comunicación oficial con potenciales clientes. </t>
  </si>
  <si>
    <t xml:space="preserve">Seguimiento de propuestas en el marco del  Comité Comercial: Revisión del avance de las propuestas comerciales por parte del Comité Comercial. </t>
  </si>
  <si>
    <t xml:space="preserve">Definición contractual de los bienes y/o servicios reembolsables: Limitación del reembolsables a los productos y/o servicios pactados expresamente en el contrato celebrado con el cliente. </t>
  </si>
  <si>
    <t>Definición de las categorias de la información para su control en el acceso (pública, restringida, y confidencial): Definición de la naturaleza de la información, con el fin de evaluar el nivel de riesgo y de ese modo, determinar los controles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</si>
</sst>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43" fontId="15" fillId="0" borderId="0" applyFont="0" applyFill="0" applyBorder="0" applyAlignment="0" applyProtection="0"/>
  </cellStyleXfs>
  <cellXfs count="3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8" xfId="0" applyNumberFormat="1"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locked="0"/>
    </xf>
    <xf numFmtId="0" fontId="1" fillId="0" borderId="2" xfId="0" applyFont="1" applyBorder="1" applyAlignment="1" applyProtection="1">
      <alignment horizontal="left" vertical="top" wrapText="1"/>
      <protection hidden="1"/>
    </xf>
    <xf numFmtId="9"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left" vertical="top" wrapText="1"/>
      <protection locked="0"/>
    </xf>
    <xf numFmtId="49" fontId="1" fillId="0" borderId="2" xfId="0" applyNumberFormat="1" applyFont="1" applyBorder="1" applyAlignment="1" applyProtection="1">
      <alignment horizontal="center"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53" fillId="0" borderId="4" xfId="0"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3" borderId="0" xfId="0" applyFont="1" applyFill="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165" fontId="1" fillId="0" borderId="4" xfId="5" applyNumberFormat="1" applyFont="1" applyBorder="1" applyAlignment="1" applyProtection="1">
      <alignment horizontal="center" vertical="top"/>
      <protection locked="0"/>
    </xf>
    <xf numFmtId="165" fontId="1" fillId="0" borderId="8" xfId="5" applyNumberFormat="1" applyFont="1" applyBorder="1" applyAlignment="1" applyProtection="1">
      <alignment horizontal="center" vertical="top"/>
      <protection locked="0"/>
    </xf>
    <xf numFmtId="165" fontId="1" fillId="0" borderId="5" xfId="5" applyNumberFormat="1" applyFont="1" applyBorder="1" applyAlignment="1" applyProtection="1">
      <alignment horizontal="center" vertical="top"/>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6">
    <cellStyle name="Millares" xfId="5" builtinId="3"/>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459">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66"/>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atriz%20de%20riesgo%20GB%20CUMPLIMIENTO%20LAFT:FC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58" dataDxfId="457">
  <autoFilter ref="B209:C219" xr:uid="{00000000-0009-0000-0100-000001000000}"/>
  <tableColumns count="2">
    <tableColumn id="1" xr3:uid="{00000000-0010-0000-0000-000001000000}" name="Criterios" dataDxfId="456"/>
    <tableColumn id="2" xr3:uid="{00000000-0010-0000-0000-000002000000}" name="Subcriterios" dataDxfId="45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workbookViewId="0"/>
  </sheetViews>
  <sheetFormatPr baseColWidth="10" defaultColWidth="11.5" defaultRowHeight="15" x14ac:dyDescent="0.2"/>
  <cols>
    <col min="1" max="1" width="2.6640625" style="83" customWidth="1"/>
    <col min="2" max="3" width="24.6640625" style="83" customWidth="1"/>
    <col min="4" max="4" width="16" style="83" customWidth="1"/>
    <col min="5" max="5" width="24.6640625" style="83" customWidth="1"/>
    <col min="6" max="6" width="27.6640625" style="83" customWidth="1"/>
    <col min="7" max="8" width="24.6640625" style="83" customWidth="1"/>
    <col min="9" max="16384" width="11.5" style="83"/>
  </cols>
  <sheetData>
    <row r="1" spans="2:8" ht="16" thickBot="1" x14ac:dyDescent="0.25"/>
    <row r="2" spans="2:8" ht="18" x14ac:dyDescent="0.2">
      <c r="B2" s="161" t="s">
        <v>164</v>
      </c>
      <c r="C2" s="162"/>
      <c r="D2" s="162"/>
      <c r="E2" s="162"/>
      <c r="F2" s="162"/>
      <c r="G2" s="162"/>
      <c r="H2" s="163"/>
    </row>
    <row r="3" spans="2:8" x14ac:dyDescent="0.2">
      <c r="B3" s="84"/>
      <c r="C3" s="85"/>
      <c r="D3" s="85"/>
      <c r="E3" s="85"/>
      <c r="F3" s="85"/>
      <c r="G3" s="85"/>
      <c r="H3" s="86"/>
    </row>
    <row r="4" spans="2:8" ht="63" customHeight="1" x14ac:dyDescent="0.2">
      <c r="B4" s="164" t="s">
        <v>207</v>
      </c>
      <c r="C4" s="165"/>
      <c r="D4" s="165"/>
      <c r="E4" s="165"/>
      <c r="F4" s="165"/>
      <c r="G4" s="165"/>
      <c r="H4" s="166"/>
    </row>
    <row r="5" spans="2:8" ht="63" customHeight="1" x14ac:dyDescent="0.2">
      <c r="B5" s="167"/>
      <c r="C5" s="168"/>
      <c r="D5" s="168"/>
      <c r="E5" s="168"/>
      <c r="F5" s="168"/>
      <c r="G5" s="168"/>
      <c r="H5" s="169"/>
    </row>
    <row r="6" spans="2:8" x14ac:dyDescent="0.2">
      <c r="B6" s="170" t="s">
        <v>162</v>
      </c>
      <c r="C6" s="171"/>
      <c r="D6" s="171"/>
      <c r="E6" s="171"/>
      <c r="F6" s="171"/>
      <c r="G6" s="171"/>
      <c r="H6" s="172"/>
    </row>
    <row r="7" spans="2:8" ht="95.25" customHeight="1" x14ac:dyDescent="0.2">
      <c r="B7" s="180" t="s">
        <v>167</v>
      </c>
      <c r="C7" s="181"/>
      <c r="D7" s="181"/>
      <c r="E7" s="181"/>
      <c r="F7" s="181"/>
      <c r="G7" s="181"/>
      <c r="H7" s="182"/>
    </row>
    <row r="8" spans="2:8" x14ac:dyDescent="0.2">
      <c r="B8" s="120"/>
      <c r="C8" s="121"/>
      <c r="D8" s="121"/>
      <c r="E8" s="121"/>
      <c r="F8" s="121"/>
      <c r="G8" s="121"/>
      <c r="H8" s="122"/>
    </row>
    <row r="9" spans="2:8" ht="16.5" customHeight="1" x14ac:dyDescent="0.2">
      <c r="B9" s="173" t="s">
        <v>200</v>
      </c>
      <c r="C9" s="174"/>
      <c r="D9" s="174"/>
      <c r="E9" s="174"/>
      <c r="F9" s="174"/>
      <c r="G9" s="174"/>
      <c r="H9" s="175"/>
    </row>
    <row r="10" spans="2:8" ht="44.25" customHeight="1" x14ac:dyDescent="0.2">
      <c r="B10" s="173"/>
      <c r="C10" s="174"/>
      <c r="D10" s="174"/>
      <c r="E10" s="174"/>
      <c r="F10" s="174"/>
      <c r="G10" s="174"/>
      <c r="H10" s="175"/>
    </row>
    <row r="11" spans="2:8" ht="16" thickBot="1" x14ac:dyDescent="0.25">
      <c r="B11" s="109"/>
      <c r="C11" s="112"/>
      <c r="D11" s="117"/>
      <c r="E11" s="118"/>
      <c r="F11" s="118"/>
      <c r="G11" s="119"/>
      <c r="H11" s="113"/>
    </row>
    <row r="12" spans="2:8" ht="16" thickTop="1" x14ac:dyDescent="0.2">
      <c r="B12" s="109"/>
      <c r="C12" s="176" t="s">
        <v>163</v>
      </c>
      <c r="D12" s="177"/>
      <c r="E12" s="178" t="s">
        <v>201</v>
      </c>
      <c r="F12" s="179"/>
      <c r="G12" s="112"/>
      <c r="H12" s="113"/>
    </row>
    <row r="13" spans="2:8" ht="35.25" customHeight="1" x14ac:dyDescent="0.2">
      <c r="B13" s="109"/>
      <c r="C13" s="148" t="s">
        <v>194</v>
      </c>
      <c r="D13" s="149"/>
      <c r="E13" s="150" t="s">
        <v>199</v>
      </c>
      <c r="F13" s="151"/>
      <c r="G13" s="112"/>
      <c r="H13" s="113"/>
    </row>
    <row r="14" spans="2:8" ht="17.25" customHeight="1" x14ac:dyDescent="0.2">
      <c r="B14" s="109"/>
      <c r="C14" s="148" t="s">
        <v>195</v>
      </c>
      <c r="D14" s="149"/>
      <c r="E14" s="150" t="s">
        <v>197</v>
      </c>
      <c r="F14" s="151"/>
      <c r="G14" s="112"/>
      <c r="H14" s="113"/>
    </row>
    <row r="15" spans="2:8" ht="19.5" customHeight="1" x14ac:dyDescent="0.2">
      <c r="B15" s="109"/>
      <c r="C15" s="148" t="s">
        <v>196</v>
      </c>
      <c r="D15" s="149"/>
      <c r="E15" s="150" t="s">
        <v>198</v>
      </c>
      <c r="F15" s="151"/>
      <c r="G15" s="112"/>
      <c r="H15" s="113"/>
    </row>
    <row r="16" spans="2:8" ht="69.75" customHeight="1" x14ac:dyDescent="0.2">
      <c r="B16" s="109"/>
      <c r="C16" s="148" t="s">
        <v>165</v>
      </c>
      <c r="D16" s="149"/>
      <c r="E16" s="150" t="s">
        <v>166</v>
      </c>
      <c r="F16" s="151"/>
      <c r="G16" s="112"/>
      <c r="H16" s="113"/>
    </row>
    <row r="17" spans="2:8" ht="34.5" customHeight="1" x14ac:dyDescent="0.2">
      <c r="B17" s="109"/>
      <c r="C17" s="152" t="s">
        <v>1</v>
      </c>
      <c r="D17" s="153"/>
      <c r="E17" s="144" t="s">
        <v>208</v>
      </c>
      <c r="F17" s="145"/>
      <c r="G17" s="112"/>
      <c r="H17" s="113"/>
    </row>
    <row r="18" spans="2:8" ht="27.75" customHeight="1" x14ac:dyDescent="0.2">
      <c r="B18" s="109"/>
      <c r="C18" s="152" t="s">
        <v>2</v>
      </c>
      <c r="D18" s="153"/>
      <c r="E18" s="144" t="s">
        <v>209</v>
      </c>
      <c r="F18" s="145"/>
      <c r="G18" s="112"/>
      <c r="H18" s="113"/>
    </row>
    <row r="19" spans="2:8" ht="28.5" customHeight="1" x14ac:dyDescent="0.2">
      <c r="B19" s="109"/>
      <c r="C19" s="152" t="s">
        <v>40</v>
      </c>
      <c r="D19" s="153"/>
      <c r="E19" s="144" t="s">
        <v>210</v>
      </c>
      <c r="F19" s="145"/>
      <c r="G19" s="112"/>
      <c r="H19" s="113"/>
    </row>
    <row r="20" spans="2:8" ht="72.75" customHeight="1" x14ac:dyDescent="0.2">
      <c r="B20" s="109"/>
      <c r="C20" s="152" t="s">
        <v>0</v>
      </c>
      <c r="D20" s="153"/>
      <c r="E20" s="144" t="s">
        <v>211</v>
      </c>
      <c r="F20" s="145"/>
      <c r="G20" s="112"/>
      <c r="H20" s="113"/>
    </row>
    <row r="21" spans="2:8" ht="64.5" customHeight="1" x14ac:dyDescent="0.2">
      <c r="B21" s="109"/>
      <c r="C21" s="152" t="s">
        <v>48</v>
      </c>
      <c r="D21" s="153"/>
      <c r="E21" s="144" t="s">
        <v>169</v>
      </c>
      <c r="F21" s="145"/>
      <c r="G21" s="112"/>
      <c r="H21" s="113"/>
    </row>
    <row r="22" spans="2:8" ht="71.25" customHeight="1" x14ac:dyDescent="0.2">
      <c r="B22" s="109"/>
      <c r="C22" s="152" t="s">
        <v>168</v>
      </c>
      <c r="D22" s="153"/>
      <c r="E22" s="144" t="s">
        <v>170</v>
      </c>
      <c r="F22" s="145"/>
      <c r="G22" s="112"/>
      <c r="H22" s="113"/>
    </row>
    <row r="23" spans="2:8" ht="55.5" customHeight="1" x14ac:dyDescent="0.2">
      <c r="B23" s="109"/>
      <c r="C23" s="146" t="s">
        <v>171</v>
      </c>
      <c r="D23" s="147"/>
      <c r="E23" s="144" t="s">
        <v>172</v>
      </c>
      <c r="F23" s="145"/>
      <c r="G23" s="112"/>
      <c r="H23" s="113"/>
    </row>
    <row r="24" spans="2:8" ht="42" customHeight="1" x14ac:dyDescent="0.2">
      <c r="B24" s="109"/>
      <c r="C24" s="146" t="s">
        <v>46</v>
      </c>
      <c r="D24" s="147"/>
      <c r="E24" s="144" t="s">
        <v>173</v>
      </c>
      <c r="F24" s="145"/>
      <c r="G24" s="112"/>
      <c r="H24" s="113"/>
    </row>
    <row r="25" spans="2:8" ht="59.25" customHeight="1" x14ac:dyDescent="0.2">
      <c r="B25" s="109"/>
      <c r="C25" s="146" t="s">
        <v>161</v>
      </c>
      <c r="D25" s="147"/>
      <c r="E25" s="144" t="s">
        <v>174</v>
      </c>
      <c r="F25" s="145"/>
      <c r="G25" s="112"/>
      <c r="H25" s="113"/>
    </row>
    <row r="26" spans="2:8" ht="23.25" customHeight="1" x14ac:dyDescent="0.2">
      <c r="B26" s="109"/>
      <c r="C26" s="146" t="s">
        <v>10</v>
      </c>
      <c r="D26" s="147"/>
      <c r="E26" s="144" t="s">
        <v>175</v>
      </c>
      <c r="F26" s="145"/>
      <c r="G26" s="112"/>
      <c r="H26" s="113"/>
    </row>
    <row r="27" spans="2:8" ht="30.75" customHeight="1" x14ac:dyDescent="0.2">
      <c r="B27" s="109"/>
      <c r="C27" s="146" t="s">
        <v>179</v>
      </c>
      <c r="D27" s="147"/>
      <c r="E27" s="144" t="s">
        <v>176</v>
      </c>
      <c r="F27" s="145"/>
      <c r="G27" s="112"/>
      <c r="H27" s="113"/>
    </row>
    <row r="28" spans="2:8" ht="35.25" customHeight="1" x14ac:dyDescent="0.2">
      <c r="B28" s="109"/>
      <c r="C28" s="146" t="s">
        <v>180</v>
      </c>
      <c r="D28" s="147"/>
      <c r="E28" s="144" t="s">
        <v>177</v>
      </c>
      <c r="F28" s="145"/>
      <c r="G28" s="112"/>
      <c r="H28" s="113"/>
    </row>
    <row r="29" spans="2:8" ht="33" customHeight="1" x14ac:dyDescent="0.2">
      <c r="B29" s="109"/>
      <c r="C29" s="146" t="s">
        <v>180</v>
      </c>
      <c r="D29" s="147"/>
      <c r="E29" s="144" t="s">
        <v>177</v>
      </c>
      <c r="F29" s="145"/>
      <c r="G29" s="112"/>
      <c r="H29" s="113"/>
    </row>
    <row r="30" spans="2:8" ht="30" customHeight="1" x14ac:dyDescent="0.2">
      <c r="B30" s="109"/>
      <c r="C30" s="146" t="s">
        <v>181</v>
      </c>
      <c r="D30" s="147"/>
      <c r="E30" s="144" t="s">
        <v>178</v>
      </c>
      <c r="F30" s="145"/>
      <c r="G30" s="112"/>
      <c r="H30" s="113"/>
    </row>
    <row r="31" spans="2:8" ht="35.25" customHeight="1" x14ac:dyDescent="0.2">
      <c r="B31" s="109"/>
      <c r="C31" s="146" t="s">
        <v>182</v>
      </c>
      <c r="D31" s="147"/>
      <c r="E31" s="144" t="s">
        <v>183</v>
      </c>
      <c r="F31" s="145"/>
      <c r="G31" s="112"/>
      <c r="H31" s="113"/>
    </row>
    <row r="32" spans="2:8" ht="31.5" customHeight="1" x14ac:dyDescent="0.2">
      <c r="B32" s="109"/>
      <c r="C32" s="146" t="s">
        <v>184</v>
      </c>
      <c r="D32" s="147"/>
      <c r="E32" s="144" t="s">
        <v>185</v>
      </c>
      <c r="F32" s="145"/>
      <c r="G32" s="112"/>
      <c r="H32" s="113"/>
    </row>
    <row r="33" spans="2:8" ht="35.25" customHeight="1" x14ac:dyDescent="0.2">
      <c r="B33" s="109"/>
      <c r="C33" s="146" t="s">
        <v>186</v>
      </c>
      <c r="D33" s="147"/>
      <c r="E33" s="144" t="s">
        <v>187</v>
      </c>
      <c r="F33" s="145"/>
      <c r="G33" s="112"/>
      <c r="H33" s="113"/>
    </row>
    <row r="34" spans="2:8" ht="59.25" customHeight="1" x14ac:dyDescent="0.2">
      <c r="B34" s="109"/>
      <c r="C34" s="146" t="s">
        <v>188</v>
      </c>
      <c r="D34" s="147"/>
      <c r="E34" s="144" t="s">
        <v>189</v>
      </c>
      <c r="F34" s="145"/>
      <c r="G34" s="112"/>
      <c r="H34" s="113"/>
    </row>
    <row r="35" spans="2:8" ht="29.25" customHeight="1" x14ac:dyDescent="0.2">
      <c r="B35" s="109"/>
      <c r="C35" s="146" t="s">
        <v>27</v>
      </c>
      <c r="D35" s="147"/>
      <c r="E35" s="144" t="s">
        <v>190</v>
      </c>
      <c r="F35" s="145"/>
      <c r="G35" s="112"/>
      <c r="H35" s="113"/>
    </row>
    <row r="36" spans="2:8" ht="82.5" customHeight="1" x14ac:dyDescent="0.2">
      <c r="B36" s="109"/>
      <c r="C36" s="146" t="s">
        <v>192</v>
      </c>
      <c r="D36" s="147"/>
      <c r="E36" s="144" t="s">
        <v>191</v>
      </c>
      <c r="F36" s="145"/>
      <c r="G36" s="112"/>
      <c r="H36" s="113"/>
    </row>
    <row r="37" spans="2:8" ht="46.5" customHeight="1" x14ac:dyDescent="0.2">
      <c r="B37" s="109"/>
      <c r="C37" s="146" t="s">
        <v>37</v>
      </c>
      <c r="D37" s="147"/>
      <c r="E37" s="144" t="s">
        <v>193</v>
      </c>
      <c r="F37" s="145"/>
      <c r="G37" s="112"/>
      <c r="H37" s="113"/>
    </row>
    <row r="38" spans="2:8" ht="6.75" customHeight="1" thickBot="1" x14ac:dyDescent="0.25">
      <c r="B38" s="109"/>
      <c r="C38" s="157"/>
      <c r="D38" s="158"/>
      <c r="E38" s="159"/>
      <c r="F38" s="160"/>
      <c r="G38" s="112"/>
      <c r="H38" s="113"/>
    </row>
    <row r="39" spans="2:8" ht="16" thickTop="1" x14ac:dyDescent="0.2">
      <c r="B39" s="109"/>
      <c r="C39" s="110"/>
      <c r="D39" s="110"/>
      <c r="E39" s="111"/>
      <c r="F39" s="111"/>
      <c r="G39" s="112"/>
      <c r="H39" s="113"/>
    </row>
    <row r="40" spans="2:8" ht="21" customHeight="1" x14ac:dyDescent="0.2">
      <c r="B40" s="154" t="s">
        <v>202</v>
      </c>
      <c r="C40" s="155"/>
      <c r="D40" s="155"/>
      <c r="E40" s="155"/>
      <c r="F40" s="155"/>
      <c r="G40" s="155"/>
      <c r="H40" s="156"/>
    </row>
    <row r="41" spans="2:8" ht="20.25" customHeight="1" x14ac:dyDescent="0.2">
      <c r="B41" s="154" t="s">
        <v>203</v>
      </c>
      <c r="C41" s="155"/>
      <c r="D41" s="155"/>
      <c r="E41" s="155"/>
      <c r="F41" s="155"/>
      <c r="G41" s="155"/>
      <c r="H41" s="156"/>
    </row>
    <row r="42" spans="2:8" ht="20.25" customHeight="1" x14ac:dyDescent="0.2">
      <c r="B42" s="154" t="s">
        <v>204</v>
      </c>
      <c r="C42" s="155"/>
      <c r="D42" s="155"/>
      <c r="E42" s="155"/>
      <c r="F42" s="155"/>
      <c r="G42" s="155"/>
      <c r="H42" s="156"/>
    </row>
    <row r="43" spans="2:8" ht="20.25" customHeight="1" x14ac:dyDescent="0.2">
      <c r="B43" s="154" t="s">
        <v>205</v>
      </c>
      <c r="C43" s="155"/>
      <c r="D43" s="155"/>
      <c r="E43" s="155"/>
      <c r="F43" s="155"/>
      <c r="G43" s="155"/>
      <c r="H43" s="156"/>
    </row>
    <row r="44" spans="2:8" x14ac:dyDescent="0.2">
      <c r="B44" s="154" t="s">
        <v>206</v>
      </c>
      <c r="C44" s="155"/>
      <c r="D44" s="155"/>
      <c r="E44" s="155"/>
      <c r="F44" s="155"/>
      <c r="G44" s="155"/>
      <c r="H44" s="156"/>
    </row>
    <row r="45" spans="2:8" ht="16" thickBot="1" x14ac:dyDescent="0.25">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223"/>
  <sheetViews>
    <sheetView tabSelected="1" topLeftCell="A205" zoomScale="77" workbookViewId="0">
      <selection activeCell="A203" sqref="A203:A208"/>
    </sheetView>
  </sheetViews>
  <sheetFormatPr baseColWidth="10" defaultColWidth="11.5" defaultRowHeight="14" x14ac:dyDescent="0.15"/>
  <cols>
    <col min="1" max="1" width="4" style="2" bestFit="1" customWidth="1"/>
    <col min="2" max="2" width="14.1640625" style="2" customWidth="1"/>
    <col min="3" max="3" width="16.6640625" style="2" customWidth="1"/>
    <col min="4" max="4" width="16.1640625" style="2" hidden="1" customWidth="1"/>
    <col min="5" max="5" width="32.5" style="1" customWidth="1"/>
    <col min="6" max="6" width="19" style="5" customWidth="1"/>
    <col min="7" max="7" width="17.6640625" style="1" customWidth="1"/>
    <col min="8" max="8" width="16.5" style="1" customWidth="1"/>
    <col min="9" max="9" width="6.33203125" style="1" bestFit="1" customWidth="1"/>
    <col min="10" max="10" width="27.33203125" style="1" bestFit="1" customWidth="1"/>
    <col min="11" max="11" width="30.5" style="1" hidden="1" customWidth="1"/>
    <col min="12" max="12" width="17.5" style="1" customWidth="1"/>
    <col min="13" max="13" width="6.33203125" style="1" bestFit="1" customWidth="1"/>
    <col min="14" max="14" width="16" style="1" customWidth="1"/>
    <col min="15" max="15" width="5.6640625" style="1" customWidth="1"/>
    <col min="16" max="16" width="31" style="1" customWidth="1"/>
    <col min="17" max="17" width="15.1640625" style="1" bestFit="1" customWidth="1"/>
    <col min="18" max="18" width="6.6640625" style="1" customWidth="1"/>
    <col min="19" max="19" width="5" style="1" customWidth="1"/>
    <col min="20" max="20" width="5.5" style="1" customWidth="1"/>
    <col min="21" max="21" width="7.1640625" style="1" customWidth="1"/>
    <col min="22" max="22" width="6.6640625" style="1" customWidth="1"/>
    <col min="23" max="23" width="7.5" style="1" customWidth="1"/>
    <col min="24" max="24" width="38.33203125" style="1" customWidth="1"/>
    <col min="25" max="25" width="8.6640625" style="1" customWidth="1"/>
    <col min="26" max="26" width="10.5" style="1" customWidth="1"/>
    <col min="27" max="27" width="9.33203125" style="1" customWidth="1"/>
    <col min="28" max="28" width="9.1640625" style="1" customWidth="1"/>
    <col min="29" max="29" width="8.5" style="1" customWidth="1"/>
    <col min="30" max="30" width="7.33203125" style="1" customWidth="1"/>
    <col min="31" max="31" width="23" style="1" customWidth="1"/>
    <col min="32" max="32" width="18.6640625" style="1" customWidth="1"/>
    <col min="33" max="33" width="16.6640625" style="1" customWidth="1"/>
    <col min="34" max="34" width="14.6640625" style="1" customWidth="1"/>
    <col min="35" max="35" width="18.5" style="1" customWidth="1"/>
    <col min="36" max="36" width="21" style="1" customWidth="1"/>
    <col min="37" max="16384" width="11.5" style="1"/>
  </cols>
  <sheetData>
    <row r="1" spans="1:68" ht="16.5" hidden="1" customHeight="1" x14ac:dyDescent="0.15">
      <c r="A1" s="208" t="s">
        <v>142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1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hidden="1" customHeight="1" x14ac:dyDescent="0.15">
      <c r="A2" s="21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idden="1" x14ac:dyDescent="0.1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hidden="1" customHeight="1" x14ac:dyDescent="0.15">
      <c r="A4" s="221" t="s">
        <v>41</v>
      </c>
      <c r="B4" s="222"/>
      <c r="C4" s="231" t="s">
        <v>212</v>
      </c>
      <c r="D4" s="232"/>
      <c r="E4" s="232"/>
      <c r="F4" s="232"/>
      <c r="G4" s="232"/>
      <c r="H4" s="232"/>
      <c r="I4" s="232"/>
      <c r="J4" s="232"/>
      <c r="K4" s="232"/>
      <c r="L4" s="232"/>
      <c r="M4" s="232"/>
      <c r="N4" s="233"/>
      <c r="O4" s="238"/>
      <c r="P4" s="238"/>
      <c r="Q4" s="23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hidden="1" customHeight="1" x14ac:dyDescent="0.15">
      <c r="A5" s="221" t="s">
        <v>128</v>
      </c>
      <c r="B5" s="222"/>
      <c r="C5" s="231" t="s">
        <v>213</v>
      </c>
      <c r="D5" s="232"/>
      <c r="E5" s="232"/>
      <c r="F5" s="232"/>
      <c r="G5" s="232"/>
      <c r="H5" s="232"/>
      <c r="I5" s="232"/>
      <c r="J5" s="232"/>
      <c r="K5" s="232"/>
      <c r="L5" s="232"/>
      <c r="M5" s="232"/>
      <c r="N5" s="233"/>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hidden="1" customHeight="1" x14ac:dyDescent="0.15">
      <c r="A6" s="221" t="s">
        <v>42</v>
      </c>
      <c r="B6" s="222"/>
      <c r="C6" s="234" t="s">
        <v>214</v>
      </c>
      <c r="D6" s="235"/>
      <c r="E6" s="235"/>
      <c r="F6" s="235"/>
      <c r="G6" s="235"/>
      <c r="H6" s="235"/>
      <c r="I6" s="235"/>
      <c r="J6" s="235"/>
      <c r="K6" s="235"/>
      <c r="L6" s="235"/>
      <c r="M6" s="235"/>
      <c r="N6" s="23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15">
      <c r="A7" s="214" t="s">
        <v>137</v>
      </c>
      <c r="B7" s="215"/>
      <c r="C7" s="215"/>
      <c r="D7" s="215"/>
      <c r="E7" s="215"/>
      <c r="F7" s="215"/>
      <c r="G7" s="216"/>
      <c r="H7" s="214" t="s">
        <v>138</v>
      </c>
      <c r="I7" s="215"/>
      <c r="J7" s="215"/>
      <c r="K7" s="215"/>
      <c r="L7" s="215"/>
      <c r="M7" s="215"/>
      <c r="N7" s="216"/>
      <c r="O7" s="214" t="s">
        <v>139</v>
      </c>
      <c r="P7" s="215"/>
      <c r="Q7" s="215"/>
      <c r="R7" s="215"/>
      <c r="S7" s="215"/>
      <c r="T7" s="215"/>
      <c r="U7" s="215"/>
      <c r="V7" s="215"/>
      <c r="W7" s="216"/>
      <c r="X7" s="214" t="s">
        <v>140</v>
      </c>
      <c r="Y7" s="215"/>
      <c r="Z7" s="215"/>
      <c r="AA7" s="215"/>
      <c r="AB7" s="215"/>
      <c r="AC7" s="215"/>
      <c r="AD7" s="216"/>
      <c r="AE7" s="214" t="s">
        <v>32</v>
      </c>
      <c r="AF7" s="215"/>
      <c r="AG7" s="215"/>
      <c r="AH7" s="215"/>
      <c r="AI7" s="215"/>
      <c r="AJ7" s="21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15">
      <c r="A8" s="223" t="s">
        <v>220</v>
      </c>
      <c r="B8" s="228" t="s">
        <v>1</v>
      </c>
      <c r="C8" s="226" t="s">
        <v>2</v>
      </c>
      <c r="D8" s="226" t="s">
        <v>40</v>
      </c>
      <c r="E8" s="227" t="s">
        <v>0</v>
      </c>
      <c r="F8" s="225" t="s">
        <v>48</v>
      </c>
      <c r="G8" s="226" t="s">
        <v>133</v>
      </c>
      <c r="H8" s="239" t="s">
        <v>31</v>
      </c>
      <c r="I8" s="240" t="s">
        <v>4</v>
      </c>
      <c r="J8" s="225" t="s">
        <v>85</v>
      </c>
      <c r="K8" s="225" t="s">
        <v>90</v>
      </c>
      <c r="L8" s="242" t="s">
        <v>43</v>
      </c>
      <c r="M8" s="240" t="s">
        <v>4</v>
      </c>
      <c r="N8" s="226" t="s">
        <v>46</v>
      </c>
      <c r="O8" s="229" t="s">
        <v>221</v>
      </c>
      <c r="P8" s="220" t="s">
        <v>161</v>
      </c>
      <c r="Q8" s="225" t="s">
        <v>10</v>
      </c>
      <c r="R8" s="220" t="s">
        <v>7</v>
      </c>
      <c r="S8" s="220"/>
      <c r="T8" s="220"/>
      <c r="U8" s="220"/>
      <c r="V8" s="220"/>
      <c r="W8" s="220"/>
      <c r="X8" s="237" t="s">
        <v>136</v>
      </c>
      <c r="Y8" s="237" t="s">
        <v>44</v>
      </c>
      <c r="Z8" s="237" t="s">
        <v>4</v>
      </c>
      <c r="AA8" s="237" t="s">
        <v>45</v>
      </c>
      <c r="AB8" s="237" t="s">
        <v>4</v>
      </c>
      <c r="AC8" s="237" t="s">
        <v>47</v>
      </c>
      <c r="AD8" s="229" t="s">
        <v>27</v>
      </c>
      <c r="AE8" s="220" t="s">
        <v>32</v>
      </c>
      <c r="AF8" s="220" t="s">
        <v>33</v>
      </c>
      <c r="AG8" s="220" t="s">
        <v>34</v>
      </c>
      <c r="AH8" s="220" t="s">
        <v>36</v>
      </c>
      <c r="AI8" s="220" t="s">
        <v>35</v>
      </c>
      <c r="AJ8" s="220" t="s">
        <v>37</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80" x14ac:dyDescent="0.2">
      <c r="A9" s="224"/>
      <c r="B9" s="228"/>
      <c r="C9" s="220"/>
      <c r="D9" s="220"/>
      <c r="E9" s="228"/>
      <c r="F9" s="226"/>
      <c r="G9" s="220"/>
      <c r="H9" s="226"/>
      <c r="I9" s="241"/>
      <c r="J9" s="226"/>
      <c r="K9" s="226"/>
      <c r="L9" s="241"/>
      <c r="M9" s="241"/>
      <c r="N9" s="220"/>
      <c r="O9" s="230"/>
      <c r="P9" s="220"/>
      <c r="Q9" s="226"/>
      <c r="R9" s="7" t="s">
        <v>11</v>
      </c>
      <c r="S9" s="7" t="s">
        <v>15</v>
      </c>
      <c r="T9" s="7" t="s">
        <v>26</v>
      </c>
      <c r="U9" s="7" t="s">
        <v>16</v>
      </c>
      <c r="V9" s="7" t="s">
        <v>19</v>
      </c>
      <c r="W9" s="7" t="s">
        <v>22</v>
      </c>
      <c r="X9" s="237"/>
      <c r="Y9" s="237"/>
      <c r="Z9" s="237"/>
      <c r="AA9" s="237"/>
      <c r="AB9" s="237"/>
      <c r="AC9" s="237"/>
      <c r="AD9" s="230"/>
      <c r="AE9" s="220"/>
      <c r="AF9" s="220"/>
      <c r="AG9" s="220"/>
      <c r="AH9" s="220"/>
      <c r="AI9" s="220"/>
      <c r="AJ9" s="22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
      <c r="A10" s="195">
        <v>1</v>
      </c>
      <c r="B10" s="198" t="s">
        <v>132</v>
      </c>
      <c r="C10" s="198" t="s">
        <v>219</v>
      </c>
      <c r="D10" s="198"/>
      <c r="E10" s="198" t="s">
        <v>222</v>
      </c>
      <c r="F10" s="198" t="s">
        <v>121</v>
      </c>
      <c r="G10" s="243">
        <v>6000</v>
      </c>
      <c r="H10" s="189" t="str">
        <f>IF(G10&lt;=0,"",IF(G10&lt;=2,"Muy Baja",IF(G10&lt;=24,"Baja",IF(G10&lt;=500,"Media",IF(G10&lt;=5000,"Alta","Muy Alta")))))</f>
        <v>Muy Alta</v>
      </c>
      <c r="I10" s="186">
        <f>IF(H10="","",IF(H10="Muy Baja",0.2,IF(H10="Baja",0.4,IF(H10="Media",0.6,IF(H10="Alta",0.8,IF(H10="Muy Alta",1,))))))</f>
        <v>1</v>
      </c>
      <c r="J10" s="183" t="s">
        <v>151</v>
      </c>
      <c r="K10" s="186" t="str">
        <f>IF(NOT(ISERROR(MATCH(J10,'Tabla Impacto'!$B$221:$B$223,0))),'Tabla Impacto'!$F$223&amp;"Por favor no seleccionar los criterios de impacto(Afectación Económica o presupuestal y Pérdida Reputacional)",J10)</f>
        <v xml:space="preserve">     El riesgo afecta la imagen de alguna área de la organización</v>
      </c>
      <c r="L10" s="189" t="str">
        <f>IF(OR(K10='Tabla Impacto'!$C$11,K10='Tabla Impacto'!$D$11),"Leve",IF(OR(K10='Tabla Impacto'!$C$12,K10='Tabla Impacto'!$D$12),"Menor",IF(OR(K10='Tabla Impacto'!$C$13,K10='Tabla Impacto'!$D$13),"Moderado",IF(OR(K10='Tabla Impacto'!$C$14,K10='Tabla Impacto'!$D$14),"Mayor",IF(OR(K10='Tabla Impacto'!$C$15,K10='Tabla Impacto'!$D$15),"Catastrófico","")))))</f>
        <v>Leve</v>
      </c>
      <c r="M10" s="186">
        <f>IF(L10="","",IF(L10="Leve",0.2,IF(L10="Menor",0.4,IF(L10="Moderado",0.6,IF(L10="Mayor",0.8,IF(L10="Catastrófico",1,))))))</f>
        <v>0.2</v>
      </c>
      <c r="N10" s="192"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36" t="s">
        <v>223</v>
      </c>
      <c r="Q10" s="125" t="str">
        <f>IF(OR(R10="Preventivo",R10="Detectivo"),"Probabilidad",IF(R10="Correctivo","Impacto",""))</f>
        <v>Probabilidad</v>
      </c>
      <c r="R10" s="126" t="s">
        <v>12</v>
      </c>
      <c r="S10" s="126" t="s">
        <v>8</v>
      </c>
      <c r="T10" s="127" t="str">
        <f>IF(AND(R10="Preventivo",S10="Automático"),"50%",IF(AND(R10="Preventivo",S10="Manual"),"40%",IF(AND(R10="Detectivo",S10="Automático"),"40%",IF(AND(R10="Detectivo",S10="Manual"),"30%",IF(AND(R10="Correctivo",S10="Automático"),"35%",IF(AND(R10="Correctivo",S10="Manual"),"25%",""))))))</f>
        <v>40%</v>
      </c>
      <c r="U10" s="126" t="s">
        <v>17</v>
      </c>
      <c r="V10" s="126" t="s">
        <v>20</v>
      </c>
      <c r="W10" s="126" t="s">
        <v>117</v>
      </c>
      <c r="X10" s="128">
        <f>IFERROR(IF(Q10="Probabilidad",(I10-(+I10*T10)),IF(Q10="Impacto",I10,"")),"")</f>
        <v>0.6</v>
      </c>
      <c r="Y10" s="129" t="str">
        <f>IFERROR(IF(X10="","",IF(X10&lt;=0.2,"Muy Baja",IF(X10&lt;=0.4,"Baja",IF(X10&lt;=0.6,"Media",IF(X10&lt;=0.8,"Alta","Muy Alta"))))),"")</f>
        <v>Media</v>
      </c>
      <c r="Z10" s="130">
        <f>+X10</f>
        <v>0.6</v>
      </c>
      <c r="AA10" s="129" t="str">
        <f>IFERROR(IF(AB10="","",IF(AB10&lt;=0.2,"Leve",IF(AB10&lt;=0.4,"Menor",IF(AB10&lt;=0.6,"Moderado",IF(AB10&lt;=0.8,"Mayor","Catastrófico"))))),"")</f>
        <v>Leve</v>
      </c>
      <c r="AB10" s="130">
        <f>IFERROR(IF(Q10="Impacto",(M10-(+M10*T10)),IF(Q10="Probabilidad",M10,"")),"")</f>
        <v>0.2</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134</v>
      </c>
      <c r="AE10" s="133"/>
      <c r="AF10" s="134"/>
      <c r="AG10" s="135"/>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15">
      <c r="A11" s="196"/>
      <c r="B11" s="199"/>
      <c r="C11" s="199"/>
      <c r="D11" s="199"/>
      <c r="E11" s="199"/>
      <c r="F11" s="199"/>
      <c r="G11" s="244"/>
      <c r="H11" s="190"/>
      <c r="I11" s="187"/>
      <c r="J11" s="184"/>
      <c r="K11" s="187">
        <f>IF(NOT(ISERROR(MATCH(J11,_xlfn.ANCHORARRAY(E22),0))),I24&amp;"Por favor no seleccionar los criterios de impacto",J11)</f>
        <v>0</v>
      </c>
      <c r="L11" s="190"/>
      <c r="M11" s="187"/>
      <c r="N11" s="193"/>
      <c r="O11" s="123">
        <v>2</v>
      </c>
      <c r="P11" s="142" t="s">
        <v>224</v>
      </c>
      <c r="Q11" s="125" t="str">
        <f>IF(OR(R11="Preventivo",R11="Detectivo"),"Probabilidad",IF(R11="Correctivo","Impacto",""))</f>
        <v>Probabilidad</v>
      </c>
      <c r="R11" s="126" t="s">
        <v>12</v>
      </c>
      <c r="S11" s="126" t="s">
        <v>8</v>
      </c>
      <c r="T11" s="127" t="str">
        <f t="shared" ref="T11:T15" si="0">IF(AND(R11="Preventivo",S11="Automático"),"50%",IF(AND(R11="Preventivo",S11="Manual"),"40%",IF(AND(R11="Detectivo",S11="Automático"),"40%",IF(AND(R11="Detectivo",S11="Manual"),"30%",IF(AND(R11="Correctivo",S11="Automático"),"35%",IF(AND(R11="Correctivo",S11="Manual"),"25%",""))))))</f>
        <v>40%</v>
      </c>
      <c r="U11" s="126" t="s">
        <v>17</v>
      </c>
      <c r="V11" s="126" t="s">
        <v>20</v>
      </c>
      <c r="W11" s="126" t="s">
        <v>117</v>
      </c>
      <c r="X11" s="128">
        <f>IFERROR(IF(AND(Q10="Probabilidad",Q11="Probabilidad"),(Z10-(+Z10*T11)),IF(Q11="Probabilidad",(I10-(+I10*T11)),IF(Q11="Impacto",Z10,""))),"")</f>
        <v>0.36</v>
      </c>
      <c r="Y11" s="129" t="str">
        <f t="shared" ref="Y11:Y69" si="1">IFERROR(IF(X11="","",IF(X11&lt;=0.2,"Muy Baja",IF(X11&lt;=0.4,"Baja",IF(X11&lt;=0.6,"Media",IF(X11&lt;=0.8,"Alta","Muy Alta"))))),"")</f>
        <v>Baja</v>
      </c>
      <c r="Z11" s="130">
        <f t="shared" ref="Z11:Z15" si="2">+X11</f>
        <v>0.36</v>
      </c>
      <c r="AA11" s="129" t="str">
        <f t="shared" ref="AA11:AA69" si="3">IFERROR(IF(AB11="","",IF(AB11&lt;=0.2,"Leve",IF(AB11&lt;=0.4,"Menor",IF(AB11&lt;=0.6,"Moderado",IF(AB11&lt;=0.8,"Mayor","Catastrófico"))))),"")</f>
        <v>Leve</v>
      </c>
      <c r="AB11" s="130">
        <f>IFERROR(IF(AND(Q10="Impacto",Q11="Impacto"),(AB10-(+AB10*T11)),IF(Q11="Impacto",(M10-(+M10*T11)),IF(Q11="Probabilidad",AB10,""))),"")</f>
        <v>0.2</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2" t="s">
        <v>29</v>
      </c>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15">
      <c r="A12" s="196"/>
      <c r="B12" s="199"/>
      <c r="C12" s="199"/>
      <c r="D12" s="199"/>
      <c r="E12" s="199"/>
      <c r="F12" s="199"/>
      <c r="G12" s="244"/>
      <c r="H12" s="190"/>
      <c r="I12" s="187"/>
      <c r="J12" s="184"/>
      <c r="K12" s="187">
        <f>IF(NOT(ISERROR(MATCH(J12,_xlfn.ANCHORARRAY(E23),0))),I25&amp;"Por favor no seleccionar los criterios de impacto",J12)</f>
        <v>0</v>
      </c>
      <c r="L12" s="190"/>
      <c r="M12" s="187"/>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15">
      <c r="A13" s="196"/>
      <c r="B13" s="199"/>
      <c r="C13" s="199"/>
      <c r="D13" s="199"/>
      <c r="E13" s="199"/>
      <c r="F13" s="199"/>
      <c r="G13" s="244"/>
      <c r="H13" s="190"/>
      <c r="I13" s="187"/>
      <c r="J13" s="184"/>
      <c r="K13" s="187">
        <f>IF(NOT(ISERROR(MATCH(J13,_xlfn.ANCHORARRAY(E24),0))),I26&amp;"Por favor no seleccionar los criterios de impacto",J13)</f>
        <v>0</v>
      </c>
      <c r="L13" s="190"/>
      <c r="M13" s="187"/>
      <c r="N13" s="193"/>
      <c r="O13" s="123">
        <v>4</v>
      </c>
      <c r="P13" s="124"/>
      <c r="Q13" s="125" t="str">
        <f>IF(OR(R13="Preventivo",R13="Detectivo"),"Probabilidad",IF(R13="Correctivo","Impacto",""))</f>
        <v/>
      </c>
      <c r="R13" s="126"/>
      <c r="S13" s="126"/>
      <c r="T13" s="127" t="str">
        <f>IF(AND(R13="Preventivo",S13="Automático"),"50%",IF(AND(R13="Preventivo",S13="Manual"),"40%",IF(AND(R13="Detectivo",S13="Automático"),"40%",IF(AND(R13="Detectivo",S13="Manual"),"30%",IF(AND(R13="Correctivo",S13="Automático"),"35%",IF(AND(R13="Correctivo",S13="Manual"),"25%",""))))))</f>
        <v/>
      </c>
      <c r="U13" s="126"/>
      <c r="V13" s="126"/>
      <c r="W13" s="126"/>
      <c r="X13" s="128" t="str">
        <f>IFERROR(IF(AND(Q12="Probabilidad",Q13="Probabilidad"),(Z12-(+Z12*T13)),IF(AND(Q12="Impacto",Q13="Probabilidad"),(Z11-(+Z11*T13)),IF(Q13="Impacto",Z12,""))),"")</f>
        <v/>
      </c>
      <c r="Y13" s="129" t="str">
        <f t="shared" si="1"/>
        <v/>
      </c>
      <c r="Z13" s="130" t="str">
        <f t="shared" si="2"/>
        <v/>
      </c>
      <c r="AA13" s="129" t="str">
        <f t="shared" si="3"/>
        <v/>
      </c>
      <c r="AB13" s="130" t="str">
        <f t="shared" ref="AB13:AB15" si="4">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15">
      <c r="A14" s="196"/>
      <c r="B14" s="199"/>
      <c r="C14" s="199"/>
      <c r="D14" s="199"/>
      <c r="E14" s="199"/>
      <c r="F14" s="199"/>
      <c r="G14" s="244"/>
      <c r="H14" s="190"/>
      <c r="I14" s="187"/>
      <c r="J14" s="184"/>
      <c r="K14" s="187">
        <f>IF(NOT(ISERROR(MATCH(J14,_xlfn.ANCHORARRAY(E25),0))),I27&amp;"Por favor no seleccionar los criterios de impacto",J14)</f>
        <v>0</v>
      </c>
      <c r="L14" s="190"/>
      <c r="M14" s="187"/>
      <c r="N14" s="193"/>
      <c r="O14" s="123">
        <v>5</v>
      </c>
      <c r="P14" s="124"/>
      <c r="Q14" s="125" t="str">
        <f t="shared" ref="Q14:Q15" si="5">IF(OR(R14="Preventivo",R14="Detectivo"),"Probabilidad",IF(R14="Correctivo","Impacto",""))</f>
        <v/>
      </c>
      <c r="R14" s="126"/>
      <c r="S14" s="126"/>
      <c r="T14" s="127" t="str">
        <f t="shared" si="0"/>
        <v/>
      </c>
      <c r="U14" s="126"/>
      <c r="V14" s="126"/>
      <c r="W14" s="126"/>
      <c r="X14" s="128" t="str">
        <f>IFERROR(IF(AND(Q13="Probabilidad",Q14="Probabilidad"),(Z13-(+Z13*T14)),IF(AND(Q13="Impacto",Q14="Probabilidad"),(Z12-(+Z12*T14)),IF(Q14="Impacto",Z13,""))),"")</f>
        <v/>
      </c>
      <c r="Y14" s="129" t="str">
        <f t="shared" si="1"/>
        <v/>
      </c>
      <c r="Z14" s="130" t="str">
        <f t="shared" si="2"/>
        <v/>
      </c>
      <c r="AA14" s="129" t="str">
        <f t="shared" si="3"/>
        <v/>
      </c>
      <c r="AB14" s="130" t="str">
        <f t="shared" si="4"/>
        <v/>
      </c>
      <c r="AC14" s="131" t="str">
        <f t="shared" ref="AC14:AC15" si="6">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15">
      <c r="A15" s="197"/>
      <c r="B15" s="200"/>
      <c r="C15" s="200"/>
      <c r="D15" s="200"/>
      <c r="E15" s="200"/>
      <c r="F15" s="200"/>
      <c r="G15" s="245"/>
      <c r="H15" s="191"/>
      <c r="I15" s="188"/>
      <c r="J15" s="185"/>
      <c r="K15" s="188">
        <f>IF(NOT(ISERROR(MATCH(J15,_xlfn.ANCHORARRAY(E26),0))),I28&amp;"Por favor no seleccionar los criterios de impacto",J15)</f>
        <v>0</v>
      </c>
      <c r="L15" s="191"/>
      <c r="M15" s="188"/>
      <c r="N15" s="194"/>
      <c r="O15" s="123">
        <v>6</v>
      </c>
      <c r="P15" s="124"/>
      <c r="Q15" s="125" t="str">
        <f t="shared" si="5"/>
        <v/>
      </c>
      <c r="R15" s="126"/>
      <c r="S15" s="126"/>
      <c r="T15" s="127" t="str">
        <f t="shared" si="0"/>
        <v/>
      </c>
      <c r="U15" s="126"/>
      <c r="V15" s="126"/>
      <c r="W15" s="126"/>
      <c r="X15" s="128" t="str">
        <f>IFERROR(IF(AND(Q14="Probabilidad",Q15="Probabilidad"),(Z14-(+Z14*T15)),IF(AND(Q14="Impacto",Q15="Probabilidad"),(Z13-(+Z13*T15)),IF(Q15="Impacto",Z14,""))),"")</f>
        <v/>
      </c>
      <c r="Y15" s="129" t="str">
        <f t="shared" si="1"/>
        <v/>
      </c>
      <c r="Z15" s="130" t="str">
        <f t="shared" si="2"/>
        <v/>
      </c>
      <c r="AA15" s="129" t="str">
        <f t="shared" si="3"/>
        <v/>
      </c>
      <c r="AB15" s="130" t="str">
        <f t="shared" si="4"/>
        <v/>
      </c>
      <c r="AC15" s="131" t="str">
        <f t="shared" si="6"/>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15">
      <c r="A16" s="195">
        <f>+A10+1</f>
        <v>2</v>
      </c>
      <c r="B16" s="198" t="s">
        <v>131</v>
      </c>
      <c r="C16" s="198" t="s">
        <v>226</v>
      </c>
      <c r="D16" s="198"/>
      <c r="E16" s="201" t="s">
        <v>225</v>
      </c>
      <c r="F16" s="198" t="s">
        <v>121</v>
      </c>
      <c r="G16" s="204">
        <v>10</v>
      </c>
      <c r="H16" s="189" t="str">
        <f>IF(G16&lt;=0,"",IF(G16&lt;=2,"Muy Baja",IF(G16&lt;=24,"Baja",IF(G16&lt;=500,"Media",IF(G16&lt;=5000,"Alta","Muy Alta")))))</f>
        <v>Baja</v>
      </c>
      <c r="I16" s="186">
        <f>IF(H16="","",IF(H16="Muy Baja",0.2,IF(H16="Baja",0.4,IF(H16="Media",0.6,IF(H16="Alta",0.8,IF(H16="Muy Alta",1,))))))</f>
        <v>0.4</v>
      </c>
      <c r="J16" s="183" t="s">
        <v>148</v>
      </c>
      <c r="K16" s="186" t="str">
        <f>IF(NOT(ISERROR(MATCH(J16,'Tabla Impacto'!$B$221:$B$223,0))),'Tabla Impacto'!$F$223&amp;"Por favor no seleccionar los criterios de impacto(Afectación Económica o presupuestal y Pérdida Reputacional)",J16)</f>
        <v xml:space="preserve">     Entre 10 y 50 SMLMV </v>
      </c>
      <c r="L16" s="189" t="str">
        <f>IF(OR(K16='Tabla Impacto'!$C$11,K16='Tabla Impacto'!$D$11),"Leve",IF(OR(K16='Tabla Impacto'!$C$12,K16='Tabla Impacto'!$D$12),"Menor",IF(OR(K16='Tabla Impacto'!$C$13,K16='Tabla Impacto'!$D$13),"Moderado",IF(OR(K16='Tabla Impacto'!$C$14,K16='Tabla Impacto'!$D$14),"Mayor",IF(OR(K16='Tabla Impacto'!$C$15,K16='Tabla Impacto'!$D$15),"Catastrófico","")))))</f>
        <v>Menor</v>
      </c>
      <c r="M16" s="186">
        <f>IF(L16="","",IF(L16="Leve",0.2,IF(L16="Menor",0.4,IF(L16="Moderado",0.6,IF(L16="Mayor",0.8,IF(L16="Catastrófico",1,))))))</f>
        <v>0.4</v>
      </c>
      <c r="N16" s="192"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c r="Q16" s="125" t="str">
        <f>IF(OR(R16="Preventivo",R16="Detectivo"),"Probabilidad",IF(R16="Correctivo","Impacto",""))</f>
        <v/>
      </c>
      <c r="R16" s="126"/>
      <c r="S16" s="126"/>
      <c r="T16" s="127" t="str">
        <f>IF(AND(R16="Preventivo",S16="Automático"),"50%",IF(AND(R16="Preventivo",S16="Manual"),"40%",IF(AND(R16="Detectivo",S16="Automático"),"40%",IF(AND(R16="Detectivo",S16="Manual"),"30%",IF(AND(R16="Correctivo",S16="Automático"),"35%",IF(AND(R16="Correctivo",S16="Manual"),"25%",""))))))</f>
        <v/>
      </c>
      <c r="U16" s="126"/>
      <c r="V16" s="126"/>
      <c r="W16" s="126"/>
      <c r="X16" s="128" t="str">
        <f>IFERROR(IF(Q16="Probabilidad",(I16-(+I16*T16)),IF(Q16="Impacto",I16,"")),"")</f>
        <v/>
      </c>
      <c r="Y16" s="129" t="str">
        <f>IFERROR(IF(X16="","",IF(X16&lt;=0.2,"Muy Baja",IF(X16&lt;=0.4,"Baja",IF(X16&lt;=0.6,"Media",IF(X16&lt;=0.8,"Alta","Muy Alta"))))),"")</f>
        <v/>
      </c>
      <c r="Z16" s="130" t="str">
        <f>+X16</f>
        <v/>
      </c>
      <c r="AA16" s="129" t="str">
        <f>IFERROR(IF(AB16="","",IF(AB16&lt;=0.2,"Leve",IF(AB16&lt;=0.4,"Menor",IF(AB16&lt;=0.6,"Moderado",IF(AB16&lt;=0.8,"Mayor","Catastrófico"))))),"")</f>
        <v/>
      </c>
      <c r="AB16" s="130" t="str">
        <f>IFERROR(IF(Q16="Impacto",(M16-(+M16*T16)),IF(Q16="Probabilidad",M16,"")),"")</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t="s">
        <v>134</v>
      </c>
      <c r="AE16" s="133" t="s">
        <v>329</v>
      </c>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15">
      <c r="A17" s="196"/>
      <c r="B17" s="199"/>
      <c r="C17" s="199"/>
      <c r="D17" s="199"/>
      <c r="E17" s="202"/>
      <c r="F17" s="199"/>
      <c r="G17" s="205"/>
      <c r="H17" s="190"/>
      <c r="I17" s="187"/>
      <c r="J17" s="184"/>
      <c r="K17" s="187">
        <f>IF(NOT(ISERROR(MATCH(J17,_xlfn.ANCHORARRAY(E28),0))),I30&amp;"Por favor no seleccionar los criterios de impacto",J17)</f>
        <v>0</v>
      </c>
      <c r="L17" s="190"/>
      <c r="M17" s="187"/>
      <c r="N17" s="193"/>
      <c r="O17" s="123">
        <v>2</v>
      </c>
      <c r="P17" s="136"/>
      <c r="Q17" s="125" t="str">
        <f>IF(OR(R17="Preventivo",R17="Detectivo"),"Probabilidad",IF(R17="Correctivo","Impacto",""))</f>
        <v/>
      </c>
      <c r="R17" s="126"/>
      <c r="S17" s="126"/>
      <c r="T17" s="127" t="str">
        <f t="shared" ref="T17:T21" si="7">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8">+X17</f>
        <v/>
      </c>
      <c r="AA17" s="129" t="str">
        <f t="shared" si="3"/>
        <v/>
      </c>
      <c r="AB17" s="130" t="str">
        <f>IFERROR(IF(AND(Q16="Impacto",Q17="Impacto"),(AB16-(+AB16*T17)),IF(Q17="Impacto",(M16-(+M16*T17)),IF(Q17="Probabilidad",AB16,""))),"")</f>
        <v/>
      </c>
      <c r="AC17" s="131" t="str">
        <f t="shared" ref="AC17:AC18" si="9">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15">
      <c r="A18" s="196"/>
      <c r="B18" s="199"/>
      <c r="C18" s="199"/>
      <c r="D18" s="199"/>
      <c r="E18" s="202"/>
      <c r="F18" s="199"/>
      <c r="G18" s="205"/>
      <c r="H18" s="190"/>
      <c r="I18" s="187"/>
      <c r="J18" s="184"/>
      <c r="K18" s="187">
        <f>IF(NOT(ISERROR(MATCH(J18,_xlfn.ANCHORARRAY(E29),0))),I31&amp;"Por favor no seleccionar los criterios de impacto",J18)</f>
        <v>0</v>
      </c>
      <c r="L18" s="190"/>
      <c r="M18" s="187"/>
      <c r="N18" s="193"/>
      <c r="O18" s="123">
        <v>3</v>
      </c>
      <c r="P18" s="124"/>
      <c r="Q18" s="125" t="str">
        <f>IF(OR(R18="Preventivo",R18="Detectivo"),"Probabilidad",IF(R18="Correctivo","Impacto",""))</f>
        <v/>
      </c>
      <c r="R18" s="126"/>
      <c r="S18" s="126"/>
      <c r="T18" s="127" t="str">
        <f t="shared" si="7"/>
        <v/>
      </c>
      <c r="U18" s="126"/>
      <c r="V18" s="126"/>
      <c r="W18" s="126"/>
      <c r="X18" s="128" t="str">
        <f>IFERROR(IF(AND(Q17="Probabilidad",Q18="Probabilidad"),(Z17-(+Z17*T18)),IF(AND(Q17="Impacto",Q18="Probabilidad"),(Z16-(+Z16*T18)),IF(Q18="Impacto",Z17,""))),"")</f>
        <v/>
      </c>
      <c r="Y18" s="129" t="str">
        <f t="shared" si="1"/>
        <v/>
      </c>
      <c r="Z18" s="130" t="str">
        <f t="shared" si="8"/>
        <v/>
      </c>
      <c r="AA18" s="129" t="str">
        <f t="shared" si="3"/>
        <v/>
      </c>
      <c r="AB18" s="130" t="str">
        <f>IFERROR(IF(AND(Q17="Impacto",Q18="Impacto"),(AB17-(+AB17*T18)),IF(AND(Q17="Probabilidad",Q18="Impacto"),(AB16-(+AB16*T18)),IF(Q18="Probabilidad",AB17,""))),"")</f>
        <v/>
      </c>
      <c r="AC18" s="131" t="str">
        <f t="shared" si="9"/>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15">
      <c r="A19" s="196"/>
      <c r="B19" s="199"/>
      <c r="C19" s="199"/>
      <c r="D19" s="199"/>
      <c r="E19" s="202"/>
      <c r="F19" s="199"/>
      <c r="G19" s="205"/>
      <c r="H19" s="190"/>
      <c r="I19" s="187"/>
      <c r="J19" s="184"/>
      <c r="K19" s="187">
        <f>IF(NOT(ISERROR(MATCH(J19,_xlfn.ANCHORARRAY(E30),0))),I32&amp;"Por favor no seleccionar los criterios de impacto",J19)</f>
        <v>0</v>
      </c>
      <c r="L19" s="190"/>
      <c r="M19" s="187"/>
      <c r="N19" s="193"/>
      <c r="O19" s="123">
        <v>4</v>
      </c>
      <c r="P19" s="124"/>
      <c r="Q19" s="125" t="str">
        <f t="shared" ref="Q19:Q21" si="10">IF(OR(R19="Preventivo",R19="Detectivo"),"Probabilidad",IF(R19="Correctivo","Impacto",""))</f>
        <v/>
      </c>
      <c r="R19" s="126"/>
      <c r="S19" s="126"/>
      <c r="T19" s="127" t="str">
        <f t="shared" si="7"/>
        <v/>
      </c>
      <c r="U19" s="126"/>
      <c r="V19" s="126"/>
      <c r="W19" s="126"/>
      <c r="X19" s="128" t="str">
        <f>IFERROR(IF(AND(Q18="Probabilidad",Q19="Probabilidad"),(Z18-(+Z18*T19)),IF(AND(Q18="Impacto",Q19="Probabilidad"),(Z17-(+Z17*T19)),IF(Q19="Impacto",Z18,""))),"")</f>
        <v/>
      </c>
      <c r="Y19" s="129" t="str">
        <f t="shared" si="1"/>
        <v/>
      </c>
      <c r="Z19" s="130" t="str">
        <f t="shared" si="8"/>
        <v/>
      </c>
      <c r="AA19" s="129" t="str">
        <f t="shared" si="3"/>
        <v/>
      </c>
      <c r="AB19" s="130" t="str">
        <f>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15">
      <c r="A20" s="196"/>
      <c r="B20" s="199"/>
      <c r="C20" s="199"/>
      <c r="D20" s="199"/>
      <c r="E20" s="202"/>
      <c r="F20" s="199"/>
      <c r="G20" s="205"/>
      <c r="H20" s="190"/>
      <c r="I20" s="187"/>
      <c r="J20" s="184"/>
      <c r="K20" s="187">
        <f>IF(NOT(ISERROR(MATCH(J20,_xlfn.ANCHORARRAY(E31),0))),I33&amp;"Por favor no seleccionar los criterios de impacto",J20)</f>
        <v>0</v>
      </c>
      <c r="L20" s="190"/>
      <c r="M20" s="187"/>
      <c r="N20" s="193"/>
      <c r="O20" s="123">
        <v>5</v>
      </c>
      <c r="P20" s="124"/>
      <c r="Q20" s="125" t="str">
        <f t="shared" si="10"/>
        <v/>
      </c>
      <c r="R20" s="126"/>
      <c r="S20" s="126"/>
      <c r="T20" s="127" t="str">
        <f t="shared" si="7"/>
        <v/>
      </c>
      <c r="U20" s="126"/>
      <c r="V20" s="126"/>
      <c r="W20" s="126"/>
      <c r="X20" s="128" t="str">
        <f t="shared" ref="X20:X21" si="11">IFERROR(IF(AND(Q19="Probabilidad",Q20="Probabilidad"),(Z19-(+Z19*T20)),IF(AND(Q19="Impacto",Q20="Probabilidad"),(Z18-(+Z18*T20)),IF(Q20="Impacto",Z19,""))),"")</f>
        <v/>
      </c>
      <c r="Y20" s="129" t="str">
        <f t="shared" si="1"/>
        <v/>
      </c>
      <c r="Z20" s="130" t="str">
        <f t="shared" si="8"/>
        <v/>
      </c>
      <c r="AA20" s="129" t="str">
        <f t="shared" si="3"/>
        <v/>
      </c>
      <c r="AB20" s="130" t="str">
        <f t="shared" ref="AB20:AB21" si="12">IFERROR(IF(AND(Q19="Impacto",Q20="Impacto"),(AB19-(+AB19*T20)),IF(AND(Q19="Probabilidad",Q20="Impacto"),(AB18-(+AB18*T20)),IF(Q20="Probabilidad",AB19,""))),"")</f>
        <v/>
      </c>
      <c r="AC20" s="131"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15">
      <c r="A21" s="197"/>
      <c r="B21" s="200"/>
      <c r="C21" s="200"/>
      <c r="D21" s="200"/>
      <c r="E21" s="203"/>
      <c r="F21" s="200"/>
      <c r="G21" s="206"/>
      <c r="H21" s="191"/>
      <c r="I21" s="188"/>
      <c r="J21" s="185"/>
      <c r="K21" s="188">
        <f>IF(NOT(ISERROR(MATCH(J21,_xlfn.ANCHORARRAY(E32),0))),I34&amp;"Por favor no seleccionar los criterios de impacto",J21)</f>
        <v>0</v>
      </c>
      <c r="L21" s="191"/>
      <c r="M21" s="188"/>
      <c r="N21" s="194"/>
      <c r="O21" s="123">
        <v>6</v>
      </c>
      <c r="P21" s="124"/>
      <c r="Q21" s="125" t="str">
        <f t="shared" si="10"/>
        <v/>
      </c>
      <c r="R21" s="126"/>
      <c r="S21" s="126"/>
      <c r="T21" s="127" t="str">
        <f t="shared" si="7"/>
        <v/>
      </c>
      <c r="U21" s="126"/>
      <c r="V21" s="126"/>
      <c r="W21" s="126"/>
      <c r="X21" s="128" t="str">
        <f t="shared" si="11"/>
        <v/>
      </c>
      <c r="Y21" s="129" t="str">
        <f t="shared" si="1"/>
        <v/>
      </c>
      <c r="Z21" s="130" t="str">
        <f t="shared" si="8"/>
        <v/>
      </c>
      <c r="AA21" s="129" t="str">
        <f t="shared" si="3"/>
        <v/>
      </c>
      <c r="AB21" s="130" t="str">
        <f t="shared" si="12"/>
        <v/>
      </c>
      <c r="AC21" s="131" t="str">
        <f t="shared" si="13"/>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15">
      <c r="A22" s="195">
        <f t="shared" ref="A22" si="14">+A16+1</f>
        <v>3</v>
      </c>
      <c r="B22" s="198" t="s">
        <v>132</v>
      </c>
      <c r="C22" s="198" t="s">
        <v>227</v>
      </c>
      <c r="D22" s="198"/>
      <c r="E22" s="201" t="s">
        <v>229</v>
      </c>
      <c r="F22" s="198" t="s">
        <v>121</v>
      </c>
      <c r="G22" s="204">
        <v>2</v>
      </c>
      <c r="H22" s="189" t="str">
        <f>IF(G22&lt;=0,"",IF(G22&lt;=2,"Muy Baja",IF(G22&lt;=24,"Baja",IF(G22&lt;=500,"Media",IF(G22&lt;=5000,"Alta","Muy Alta")))))</f>
        <v>Muy Baja</v>
      </c>
      <c r="I22" s="186">
        <f>IF(H22="","",IF(H22="Muy Baja",0.2,IF(H22="Baja",0.4,IF(H22="Media",0.6,IF(H22="Alta",0.8,IF(H22="Muy Alta",1,))))))</f>
        <v>0.2</v>
      </c>
      <c r="J22" s="183" t="s">
        <v>150</v>
      </c>
      <c r="K22" s="186" t="str">
        <f>IF(NOT(ISERROR(MATCH(J22,'Tabla Impacto'!$B$221:$B$223,0))),'Tabla Impacto'!$F$223&amp;"Por favor no seleccionar los criterios de impacto(Afectación Económica o presupuestal y Pérdida Reputacional)",J22)</f>
        <v xml:space="preserve">     Mayor a 500 SMLMV </v>
      </c>
      <c r="L22" s="189" t="str">
        <f>IF(OR(K22='Tabla Impacto'!$C$11,K22='Tabla Impacto'!$D$11),"Leve",IF(OR(K22='Tabla Impacto'!$C$12,K22='Tabla Impacto'!$D$12),"Menor",IF(OR(K22='Tabla Impacto'!$C$13,K22='Tabla Impacto'!$D$13),"Moderado",IF(OR(K22='Tabla Impacto'!$C$14,K22='Tabla Impacto'!$D$14),"Mayor",IF(OR(K22='Tabla Impacto'!$C$15,K22='Tabla Impacto'!$D$15),"Catastrófico","")))))</f>
        <v>Catastrófico</v>
      </c>
      <c r="M22" s="186">
        <f>IF(L22="","",IF(L22="Leve",0.2,IF(L22="Menor",0.4,IF(L22="Moderado",0.6,IF(L22="Mayor",0.8,IF(L22="Catastrófico",1,))))))</f>
        <v>1</v>
      </c>
      <c r="N22" s="192"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123">
        <v>1</v>
      </c>
      <c r="P22" s="124" t="s">
        <v>228</v>
      </c>
      <c r="Q22" s="125" t="str">
        <f>IF(OR(R22="Preventivo",R22="Detectivo"),"Probabilidad",IF(R22="Correctivo","Impacto",""))</f>
        <v>Impacto</v>
      </c>
      <c r="R22" s="126" t="s">
        <v>14</v>
      </c>
      <c r="S22" s="126" t="s">
        <v>9</v>
      </c>
      <c r="T22" s="127" t="str">
        <f>IF(AND(R22="Preventivo",S22="Automático"),"50%",IF(AND(R22="Preventivo",S22="Manual"),"40%",IF(AND(R22="Detectivo",S22="Automático"),"40%",IF(AND(R22="Detectivo",S22="Manual"),"30%",IF(AND(R22="Correctivo",S22="Automático"),"35%",IF(AND(R22="Correctivo",S22="Manual"),"25%",""))))))</f>
        <v>35%</v>
      </c>
      <c r="U22" s="126" t="s">
        <v>17</v>
      </c>
      <c r="V22" s="126" t="s">
        <v>20</v>
      </c>
      <c r="W22" s="126" t="s">
        <v>117</v>
      </c>
      <c r="X22" s="128">
        <f>IFERROR(IF(Q22="Probabilidad",(I22-(+I22*T22)),IF(Q22="Impacto",I22,"")),"")</f>
        <v>0.2</v>
      </c>
      <c r="Y22" s="129" t="str">
        <f>IFERROR(IF(X22="","",IF(X22&lt;=0.2,"Muy Baja",IF(X22&lt;=0.4,"Baja",IF(X22&lt;=0.6,"Media",IF(X22&lt;=0.8,"Alta","Muy Alta"))))),"")</f>
        <v>Muy Baja</v>
      </c>
      <c r="Z22" s="130">
        <f>+X22</f>
        <v>0.2</v>
      </c>
      <c r="AA22" s="129" t="str">
        <f>IFERROR(IF(AB22="","",IF(AB22&lt;=0.2,"Leve",IF(AB22&lt;=0.4,"Menor",IF(AB22&lt;=0.6,"Moderado",IF(AB22&lt;=0.8,"Mayor","Catastrófico"))))),"")</f>
        <v>Mayor</v>
      </c>
      <c r="AB22" s="130">
        <f>IFERROR(IF(Q22="Impacto",(M22-(+M22*T22)),IF(Q22="Probabilidad",M22,"")),"")</f>
        <v>0.65</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134</v>
      </c>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15">
      <c r="A23" s="196"/>
      <c r="B23" s="199"/>
      <c r="C23" s="199"/>
      <c r="D23" s="199"/>
      <c r="E23" s="202"/>
      <c r="F23" s="199"/>
      <c r="G23" s="205"/>
      <c r="H23" s="190"/>
      <c r="I23" s="187"/>
      <c r="J23" s="184"/>
      <c r="K23" s="187">
        <f t="shared" ref="K23:K27" si="15">IF(NOT(ISERROR(MATCH(J23,_xlfn.ANCHORARRAY(E34),0))),I36&amp;"Por favor no seleccionar los criterios de impacto",J23)</f>
        <v>0</v>
      </c>
      <c r="L23" s="190"/>
      <c r="M23" s="187"/>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IFERROR(IF(AND(Q22="Impacto",Q23="Impacto"),(AB22-(+AB22*T23)),IF(Q23="Impacto",(M22-(+M22*T23)),IF(Q23="Probabilidad",AB22,""))),"")</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15">
      <c r="A24" s="196"/>
      <c r="B24" s="199"/>
      <c r="C24" s="199"/>
      <c r="D24" s="199"/>
      <c r="E24" s="202"/>
      <c r="F24" s="199"/>
      <c r="G24" s="205"/>
      <c r="H24" s="190"/>
      <c r="I24" s="187"/>
      <c r="J24" s="184"/>
      <c r="K24" s="187">
        <f t="shared" si="15"/>
        <v>0</v>
      </c>
      <c r="L24" s="190"/>
      <c r="M24" s="187"/>
      <c r="N24" s="193"/>
      <c r="O24" s="123"/>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15">
      <c r="A25" s="196"/>
      <c r="B25" s="199"/>
      <c r="C25" s="199"/>
      <c r="D25" s="199"/>
      <c r="E25" s="202"/>
      <c r="F25" s="199"/>
      <c r="G25" s="205"/>
      <c r="H25" s="190"/>
      <c r="I25" s="187"/>
      <c r="J25" s="184"/>
      <c r="K25" s="187">
        <f t="shared" si="15"/>
        <v>0</v>
      </c>
      <c r="L25" s="190"/>
      <c r="M25" s="187"/>
      <c r="N25" s="193"/>
      <c r="O25" s="123"/>
      <c r="P25" s="124"/>
      <c r="Q25" s="125" t="str">
        <f t="shared" ref="Q25:Q27" si="19">IF(OR(R25="Preventivo",R25="Detectivo"),"Probabilidad",IF(R25="Correctivo","Impacto",""))</f>
        <v/>
      </c>
      <c r="R25" s="126"/>
      <c r="S25" s="126"/>
      <c r="T25" s="127" t="str">
        <f t="shared" si="16"/>
        <v/>
      </c>
      <c r="U25" s="126"/>
      <c r="V25" s="126"/>
      <c r="W25" s="126"/>
      <c r="X25" s="128" t="str">
        <f>IFERROR(IF(AND(Q24="Probabilidad",Q25="Probabilidad"),(Z24-(+Z24*T25)),IF(AND(Q24="Impacto",Q25="Probabilidad"),(Z23-(+Z23*T25)),IF(Q25="Impacto",Z24,""))),"")</f>
        <v/>
      </c>
      <c r="Y25" s="129" t="str">
        <f t="shared" si="1"/>
        <v/>
      </c>
      <c r="Z25" s="130" t="str">
        <f t="shared" si="17"/>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15">
      <c r="A26" s="196"/>
      <c r="B26" s="199"/>
      <c r="C26" s="199"/>
      <c r="D26" s="199"/>
      <c r="E26" s="202"/>
      <c r="F26" s="199"/>
      <c r="G26" s="205"/>
      <c r="H26" s="190"/>
      <c r="I26" s="187"/>
      <c r="J26" s="184"/>
      <c r="K26" s="187">
        <f t="shared" si="15"/>
        <v>0</v>
      </c>
      <c r="L26" s="190"/>
      <c r="M26" s="187"/>
      <c r="N26" s="193"/>
      <c r="O26" s="123"/>
      <c r="P26" s="124"/>
      <c r="Q26" s="125" t="str">
        <f t="shared" si="19"/>
        <v/>
      </c>
      <c r="R26" s="126"/>
      <c r="S26" s="126"/>
      <c r="T26" s="127" t="str">
        <f t="shared" si="16"/>
        <v/>
      </c>
      <c r="U26" s="126"/>
      <c r="V26" s="126"/>
      <c r="W26" s="126"/>
      <c r="X26" s="128" t="str">
        <f>IFERROR(IF(AND(Q25="Probabilidad",Q26="Probabilidad"),(Z25-(+Z25*T26)),IF(AND(Q25="Impacto",Q26="Probabilidad"),(Z24-(+Z24*T26)),IF(Q26="Impacto",Z25,""))),"")</f>
        <v/>
      </c>
      <c r="Y26" s="129" t="str">
        <f t="shared" si="1"/>
        <v/>
      </c>
      <c r="Z26" s="130" t="str">
        <f t="shared" si="17"/>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15">
      <c r="A27" s="197"/>
      <c r="B27" s="200"/>
      <c r="C27" s="200"/>
      <c r="D27" s="200"/>
      <c r="E27" s="203"/>
      <c r="F27" s="200"/>
      <c r="G27" s="206"/>
      <c r="H27" s="191"/>
      <c r="I27" s="188"/>
      <c r="J27" s="185"/>
      <c r="K27" s="188">
        <f t="shared" si="15"/>
        <v>0</v>
      </c>
      <c r="L27" s="191"/>
      <c r="M27" s="188"/>
      <c r="N27" s="194"/>
      <c r="O27" s="123"/>
      <c r="P27" s="124"/>
      <c r="Q27" s="125" t="str">
        <f t="shared" si="19"/>
        <v/>
      </c>
      <c r="R27" s="126"/>
      <c r="S27" s="126"/>
      <c r="T27" s="127" t="str">
        <f t="shared" si="16"/>
        <v/>
      </c>
      <c r="U27" s="126"/>
      <c r="V27" s="126"/>
      <c r="W27" s="126"/>
      <c r="X27" s="128" t="str">
        <f>IFERROR(IF(AND(Q26="Probabilidad",Q27="Probabilidad"),(Z26-(+Z26*T27)),IF(AND(Q26="Impacto",Q27="Probabilidad"),(Z25-(+Z25*T27)),IF(Q27="Impacto",Z26,""))),"")</f>
        <v/>
      </c>
      <c r="Y27" s="129" t="str">
        <f t="shared" si="1"/>
        <v/>
      </c>
      <c r="Z27" s="130" t="str">
        <f t="shared" si="17"/>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15">
      <c r="A28" s="195">
        <f t="shared" ref="A28" si="22">+A22+1</f>
        <v>4</v>
      </c>
      <c r="B28" s="198" t="s">
        <v>131</v>
      </c>
      <c r="C28" s="198" t="s">
        <v>231</v>
      </c>
      <c r="D28" s="198"/>
      <c r="E28" s="201" t="s">
        <v>230</v>
      </c>
      <c r="F28" s="198" t="s">
        <v>121</v>
      </c>
      <c r="G28" s="204">
        <v>2</v>
      </c>
      <c r="H28" s="189" t="str">
        <f>IF(G28&lt;=0,"",IF(G28&lt;=2,"Muy Baja",IF(G28&lt;=24,"Baja",IF(G28&lt;=500,"Media",IF(G28&lt;=5000,"Alta","Muy Alta")))))</f>
        <v>Muy Baja</v>
      </c>
      <c r="I28" s="186">
        <f>IF(H28="","",IF(H28="Muy Baja",0.2,IF(H28="Baja",0.4,IF(H28="Media",0.6,IF(H28="Alta",0.8,IF(H28="Muy Alta",1,))))))</f>
        <v>0.2</v>
      </c>
      <c r="J28" s="183" t="s">
        <v>144</v>
      </c>
      <c r="K28" s="186" t="str">
        <f>IF(NOT(ISERROR(MATCH(J28,'Tabla Impacto'!$B$221:$B$223,0))),'Tabla Impacto'!$F$223&amp;"Por favor no seleccionar los criterios de impacto(Afectación Económica o presupuestal y Pérdida Reputacional)",J28)</f>
        <v xml:space="preserve">     Afectación menor a 10 SMLMV .</v>
      </c>
      <c r="L28" s="189" t="str">
        <f>IF(OR(K28='Tabla Impacto'!$C$11,K28='Tabla Impacto'!$D$11),"Leve",IF(OR(K28='Tabla Impacto'!$C$12,K28='Tabla Impacto'!$D$12),"Menor",IF(OR(K28='Tabla Impacto'!$C$13,K28='Tabla Impacto'!$D$13),"Moderado",IF(OR(K28='Tabla Impacto'!$C$14,K28='Tabla Impacto'!$D$14),"Mayor",IF(OR(K28='Tabla Impacto'!$C$15,K28='Tabla Impacto'!$D$15),"Catastrófico","")))))</f>
        <v>Leve</v>
      </c>
      <c r="M28" s="186">
        <f>IF(L28="","",IF(L28="Leve",0.2,IF(L28="Menor",0.4,IF(L28="Moderado",0.6,IF(L28="Mayor",0.8,IF(L28="Catastrófico",1,))))))</f>
        <v>0.2</v>
      </c>
      <c r="N28" s="19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Bajo</v>
      </c>
      <c r="O28" s="123">
        <v>1</v>
      </c>
      <c r="P28" s="136" t="s">
        <v>223</v>
      </c>
      <c r="Q28" s="125" t="str">
        <f>IF(OR(R28="Preventivo",R28="Detectivo"),"Probabilidad",IF(R28="Correctivo","Impacto",""))</f>
        <v>Probabilidad</v>
      </c>
      <c r="R28" s="126" t="s">
        <v>12</v>
      </c>
      <c r="S28" s="126" t="s">
        <v>8</v>
      </c>
      <c r="T28" s="127" t="str">
        <f>IF(AND(R28="Preventivo",S28="Automático"),"50%",IF(AND(R28="Preventivo",S28="Manual"),"40%",IF(AND(R28="Detectivo",S28="Automático"),"40%",IF(AND(R28="Detectivo",S28="Manual"),"30%",IF(AND(R28="Correctivo",S28="Automático"),"35%",IF(AND(R28="Correctivo",S28="Manual"),"25%",""))))))</f>
        <v>40%</v>
      </c>
      <c r="U28" s="126" t="s">
        <v>17</v>
      </c>
      <c r="V28" s="126" t="s">
        <v>20</v>
      </c>
      <c r="W28" s="126" t="s">
        <v>117</v>
      </c>
      <c r="X28" s="128">
        <f>IFERROR(IF(Q28="Probabilidad",(I28-(+I28*T28)),IF(Q28="Impacto",I28,"")),"")</f>
        <v>0.12</v>
      </c>
      <c r="Y28" s="129" t="str">
        <f>IFERROR(IF(X28="","",IF(X28&lt;=0.2,"Muy Baja",IF(X28&lt;=0.4,"Baja",IF(X28&lt;=0.6,"Media",IF(X28&lt;=0.8,"Alta","Muy Alta"))))),"")</f>
        <v>Muy Baja</v>
      </c>
      <c r="Z28" s="130">
        <f>+X28</f>
        <v>0.12</v>
      </c>
      <c r="AA28" s="129" t="str">
        <f>IFERROR(IF(AB28="","",IF(AB28&lt;=0.2,"Leve",IF(AB28&lt;=0.4,"Menor",IF(AB28&lt;=0.6,"Moderado",IF(AB28&lt;=0.8,"Mayor","Catastrófico"))))),"")</f>
        <v>Leve</v>
      </c>
      <c r="AB28" s="130">
        <f>IFERROR(IF(Q28="Impacto",(M28-(+M28*T28)),IF(Q28="Probabilidad",M28,"")),"")</f>
        <v>0.2</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Bajo</v>
      </c>
      <c r="AD28" s="132" t="s">
        <v>29</v>
      </c>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15">
      <c r="A29" s="196"/>
      <c r="B29" s="199"/>
      <c r="C29" s="199"/>
      <c r="D29" s="199"/>
      <c r="E29" s="202"/>
      <c r="F29" s="199"/>
      <c r="G29" s="205"/>
      <c r="H29" s="190"/>
      <c r="I29" s="187"/>
      <c r="J29" s="184"/>
      <c r="K29" s="187">
        <f t="shared" ref="K29:K33" si="23">IF(NOT(ISERROR(MATCH(J29,_xlfn.ANCHORARRAY(E40),0))),I42&amp;"Por favor no seleccionar los criterios de impacto",J29)</f>
        <v>0</v>
      </c>
      <c r="L29" s="190"/>
      <c r="M29" s="187"/>
      <c r="N29" s="193"/>
      <c r="O29" s="123">
        <v>2</v>
      </c>
      <c r="P29" s="142" t="s">
        <v>237</v>
      </c>
      <c r="Q29" s="125" t="str">
        <f>IF(OR(R29="Preventivo",R29="Detectivo"),"Probabilidad",IF(R29="Correctivo","Impacto",""))</f>
        <v>Probabilidad</v>
      </c>
      <c r="R29" s="126" t="s">
        <v>12</v>
      </c>
      <c r="S29" s="126" t="s">
        <v>8</v>
      </c>
      <c r="T29" s="127" t="str">
        <f t="shared" ref="T29:T33" si="24">IF(AND(R29="Preventivo",S29="Automático"),"50%",IF(AND(R29="Preventivo",S29="Manual"),"40%",IF(AND(R29="Detectivo",S29="Automático"),"40%",IF(AND(R29="Detectivo",S29="Manual"),"30%",IF(AND(R29="Correctivo",S29="Automático"),"35%",IF(AND(R29="Correctivo",S29="Manual"),"25%",""))))))</f>
        <v>40%</v>
      </c>
      <c r="U29" s="126" t="s">
        <v>17</v>
      </c>
      <c r="V29" s="126" t="s">
        <v>20</v>
      </c>
      <c r="W29" s="126" t="s">
        <v>117</v>
      </c>
      <c r="X29" s="128">
        <f>IFERROR(IF(AND(Q28="Probabilidad",Q29="Probabilidad"),(Z28-(+Z28*T29)),IF(Q29="Probabilidad",(I28-(+I28*T29)),IF(Q29="Impacto",Z28,""))),"")</f>
        <v>7.1999999999999995E-2</v>
      </c>
      <c r="Y29" s="129" t="str">
        <f t="shared" si="1"/>
        <v>Muy Baja</v>
      </c>
      <c r="Z29" s="130">
        <f t="shared" ref="Z29:Z33" si="25">+X29</f>
        <v>7.1999999999999995E-2</v>
      </c>
      <c r="AA29" s="129" t="str">
        <f t="shared" si="3"/>
        <v>Leve</v>
      </c>
      <c r="AB29" s="130">
        <f>IFERROR(IF(AND(Q28="Impacto",Q29="Impacto"),(AB28-(+AB28*T29)),IF(Q29="Impacto",(M28-(+M28*T29)),IF(Q29="Probabilidad",AB28,""))),"")</f>
        <v>0.2</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Bajo</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15">
      <c r="A30" s="196"/>
      <c r="B30" s="199"/>
      <c r="C30" s="199"/>
      <c r="D30" s="199"/>
      <c r="E30" s="202"/>
      <c r="F30" s="199"/>
      <c r="G30" s="205"/>
      <c r="H30" s="190"/>
      <c r="I30" s="187"/>
      <c r="J30" s="184"/>
      <c r="K30" s="187">
        <f t="shared" si="23"/>
        <v>0</v>
      </c>
      <c r="L30" s="190"/>
      <c r="M30" s="187"/>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15">
      <c r="A31" s="196"/>
      <c r="B31" s="199"/>
      <c r="C31" s="199"/>
      <c r="D31" s="199"/>
      <c r="E31" s="202"/>
      <c r="F31" s="199"/>
      <c r="G31" s="205"/>
      <c r="H31" s="190"/>
      <c r="I31" s="187"/>
      <c r="J31" s="184"/>
      <c r="K31" s="187">
        <f t="shared" si="23"/>
        <v>0</v>
      </c>
      <c r="L31" s="190"/>
      <c r="M31" s="187"/>
      <c r="N31" s="193"/>
      <c r="O31" s="123">
        <v>4</v>
      </c>
      <c r="P31" s="124"/>
      <c r="Q31" s="125" t="str">
        <f t="shared" ref="Q31:Q33" si="27">IF(OR(R31="Preventivo",R31="Detectivo"),"Probabilidad",IF(R31="Correctivo","Impacto",""))</f>
        <v/>
      </c>
      <c r="R31" s="126"/>
      <c r="S31" s="126"/>
      <c r="T31" s="127" t="str">
        <f t="shared" si="24"/>
        <v/>
      </c>
      <c r="U31" s="126"/>
      <c r="V31" s="126"/>
      <c r="W31" s="126"/>
      <c r="X31" s="128" t="str">
        <f>IFERROR(IF(AND(Q30="Probabilidad",Q31="Probabilidad"),(Z30-(+Z30*T31)),IF(AND(Q30="Impacto",Q31="Probabilidad"),(Z29-(+Z29*T31)),IF(Q31="Impacto",Z30,""))),"")</f>
        <v/>
      </c>
      <c r="Y31" s="129" t="str">
        <f t="shared" si="1"/>
        <v/>
      </c>
      <c r="Z31" s="130" t="str">
        <f t="shared" si="25"/>
        <v/>
      </c>
      <c r="AA31" s="129" t="str">
        <f t="shared" si="3"/>
        <v/>
      </c>
      <c r="AB31" s="130" t="str">
        <f t="shared" ref="AB31:AB33" si="28">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15">
      <c r="A32" s="196"/>
      <c r="B32" s="199"/>
      <c r="C32" s="199"/>
      <c r="D32" s="199"/>
      <c r="E32" s="202"/>
      <c r="F32" s="199"/>
      <c r="G32" s="205"/>
      <c r="H32" s="190"/>
      <c r="I32" s="187"/>
      <c r="J32" s="184"/>
      <c r="K32" s="187">
        <f t="shared" si="23"/>
        <v>0</v>
      </c>
      <c r="L32" s="190"/>
      <c r="M32" s="187"/>
      <c r="N32" s="193"/>
      <c r="O32" s="123">
        <v>5</v>
      </c>
      <c r="P32" s="124"/>
      <c r="Q32" s="125" t="str">
        <f t="shared" si="27"/>
        <v/>
      </c>
      <c r="R32" s="126"/>
      <c r="S32" s="126"/>
      <c r="T32" s="127" t="str">
        <f t="shared" si="24"/>
        <v/>
      </c>
      <c r="U32" s="126"/>
      <c r="V32" s="126"/>
      <c r="W32" s="126"/>
      <c r="X32" s="137" t="str">
        <f>IFERROR(IF(AND(Q31="Probabilidad",Q32="Probabilidad"),(Z31-(+Z31*T32)),IF(AND(Q31="Impacto",Q32="Probabilidad"),(Z30-(+Z30*T32)),IF(Q32="Impacto",Z31,""))),"")</f>
        <v/>
      </c>
      <c r="Y32" s="129" t="str">
        <f>IFERROR(IF(X32="","",IF(X32&lt;=0.2,"Muy Baja",IF(X32&lt;=0.4,"Baja",IF(X32&lt;=0.6,"Media",IF(X32&lt;=0.8,"Alta","Muy Alta"))))),"")</f>
        <v/>
      </c>
      <c r="Z32" s="130" t="str">
        <f t="shared" si="25"/>
        <v/>
      </c>
      <c r="AA32" s="129" t="str">
        <f t="shared" si="3"/>
        <v/>
      </c>
      <c r="AB32" s="130" t="str">
        <f t="shared" si="28"/>
        <v/>
      </c>
      <c r="AC32" s="131"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15">
      <c r="A33" s="197"/>
      <c r="B33" s="200"/>
      <c r="C33" s="200"/>
      <c r="D33" s="200"/>
      <c r="E33" s="203"/>
      <c r="F33" s="200"/>
      <c r="G33" s="206"/>
      <c r="H33" s="191"/>
      <c r="I33" s="188"/>
      <c r="J33" s="185"/>
      <c r="K33" s="188">
        <f t="shared" si="23"/>
        <v>0</v>
      </c>
      <c r="L33" s="191"/>
      <c r="M33" s="188"/>
      <c r="N33" s="194"/>
      <c r="O33" s="123">
        <v>6</v>
      </c>
      <c r="P33" s="124"/>
      <c r="Q33" s="125" t="str">
        <f t="shared" si="27"/>
        <v/>
      </c>
      <c r="R33" s="126"/>
      <c r="S33" s="126"/>
      <c r="T33" s="127" t="str">
        <f t="shared" si="24"/>
        <v/>
      </c>
      <c r="U33" s="126"/>
      <c r="V33" s="126"/>
      <c r="W33" s="126"/>
      <c r="X33" s="128" t="str">
        <f>IFERROR(IF(AND(Q32="Probabilidad",Q33="Probabilidad"),(Z32-(+Z32*T33)),IF(AND(Q32="Impacto",Q33="Probabilidad"),(Z31-(+Z31*T33)),IF(Q33="Impacto",Z32,""))),"")</f>
        <v/>
      </c>
      <c r="Y33" s="129" t="str">
        <f t="shared" si="1"/>
        <v/>
      </c>
      <c r="Z33" s="130" t="str">
        <f t="shared" si="25"/>
        <v/>
      </c>
      <c r="AA33" s="129" t="str">
        <f t="shared" si="3"/>
        <v/>
      </c>
      <c r="AB33" s="130" t="str">
        <f t="shared" si="28"/>
        <v/>
      </c>
      <c r="AC33" s="131" t="str">
        <f t="shared" si="29"/>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15">
      <c r="A34" s="195">
        <f t="shared" ref="A34" si="30">+A28+1</f>
        <v>5</v>
      </c>
      <c r="B34" s="198" t="s">
        <v>131</v>
      </c>
      <c r="C34" s="198" t="s">
        <v>233</v>
      </c>
      <c r="D34" s="198"/>
      <c r="E34" s="201" t="s">
        <v>232</v>
      </c>
      <c r="F34" s="198" t="s">
        <v>121</v>
      </c>
      <c r="G34" s="204">
        <v>30</v>
      </c>
      <c r="H34" s="189" t="str">
        <f>IF(G34&lt;=0,"",IF(G34&lt;=2,"Muy Baja",IF(G34&lt;=24,"Baja",IF(G34&lt;=500,"Media",IF(G34&lt;=5000,"Alta","Muy Alta")))))</f>
        <v>Media</v>
      </c>
      <c r="I34" s="186">
        <f>IF(H34="","",IF(H34="Muy Baja",0.2,IF(H34="Baja",0.4,IF(H34="Media",0.6,IF(H34="Alta",0.8,IF(H34="Muy Alta",1,))))))</f>
        <v>0.6</v>
      </c>
      <c r="J34" s="183" t="s">
        <v>149</v>
      </c>
      <c r="K34" s="186" t="str">
        <f>IF(NOT(ISERROR(MATCH(J34,'Tabla Impacto'!$B$221:$B$223,0))),'Tabla Impacto'!$F$223&amp;"Por favor no seleccionar los criterios de impacto(Afectación Económica o presupuestal y Pérdida Reputacional)",J34)</f>
        <v xml:space="preserve">     Entre 100 y 500 SMLMV </v>
      </c>
      <c r="L34" s="189" t="str">
        <f>IF(OR(K34='Tabla Impacto'!$C$11,K34='Tabla Impacto'!$D$11),"Leve",IF(OR(K34='Tabla Impacto'!$C$12,K34='Tabla Impacto'!$D$12),"Menor",IF(OR(K34='Tabla Impacto'!$C$13,K34='Tabla Impacto'!$D$13),"Moderado",IF(OR(K34='Tabla Impacto'!$C$14,K34='Tabla Impacto'!$D$14),"Mayor",IF(OR(K34='Tabla Impacto'!$C$15,K34='Tabla Impacto'!$D$15),"Catastrófico","")))))</f>
        <v>Mayor</v>
      </c>
      <c r="M34" s="186">
        <f>IF(L34="","",IF(L34="Leve",0.2,IF(L34="Menor",0.4,IF(L34="Moderado",0.6,IF(L34="Mayor",0.8,IF(L34="Catastrófico",1,))))))</f>
        <v>0.8</v>
      </c>
      <c r="N34" s="192"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t="s">
        <v>134</v>
      </c>
      <c r="AE34" s="124" t="s">
        <v>234</v>
      </c>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15">
      <c r="A35" s="196"/>
      <c r="B35" s="199"/>
      <c r="C35" s="199"/>
      <c r="D35" s="199"/>
      <c r="E35" s="202"/>
      <c r="F35" s="199"/>
      <c r="G35" s="205"/>
      <c r="H35" s="190"/>
      <c r="I35" s="187"/>
      <c r="J35" s="184"/>
      <c r="K35" s="187">
        <f t="shared" ref="K35:K38" si="31">IF(NOT(ISERROR(MATCH(J35,_xlfn.ANCHORARRAY(E46),0))),I48&amp;"Por favor no seleccionar los criterios de impacto",J35)</f>
        <v>0</v>
      </c>
      <c r="L35" s="190"/>
      <c r="M35" s="187"/>
      <c r="N35" s="193"/>
      <c r="O35" s="123">
        <v>2</v>
      </c>
      <c r="P35" s="124"/>
      <c r="Q35" s="125" t="str">
        <f>IF(OR(R35="Preventivo",R35="Detectivo"),"Probabilidad",IF(R35="Correctivo","Impacto",""))</f>
        <v/>
      </c>
      <c r="R35" s="126"/>
      <c r="S35" s="126"/>
      <c r="T35" s="127"/>
      <c r="U35" s="126"/>
      <c r="V35" s="126"/>
      <c r="W35" s="126"/>
      <c r="X35" s="128" t="str">
        <f>IFERROR(IF(AND(Q34="Probabilidad",Q35="Probabilidad"),(Z34-(+Z34*T35)),IF(Q35="Probabilidad",(I34-(+I34*T35)),IF(Q35="Impacto",Z34,""))),"")</f>
        <v/>
      </c>
      <c r="Y35" s="129" t="str">
        <f t="shared" si="1"/>
        <v/>
      </c>
      <c r="Z35" s="130" t="str">
        <f t="shared" ref="Z35:Z39" si="32">+X35</f>
        <v/>
      </c>
      <c r="AA35" s="129" t="str">
        <f t="shared" si="3"/>
        <v/>
      </c>
      <c r="AB35" s="130" t="str">
        <f>IFERROR(IF(AND(Q34="Impacto",Q35="Impacto"),(AB34-(+AB34*T35)),IF(Q35="Impacto",(M34-(+M34*T35)),IF(Q35="Probabilidad",AB34,""))),"")</f>
        <v/>
      </c>
      <c r="AC35" s="131"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15">
      <c r="A36" s="196"/>
      <c r="B36" s="199"/>
      <c r="C36" s="199"/>
      <c r="D36" s="199"/>
      <c r="E36" s="202"/>
      <c r="F36" s="199"/>
      <c r="G36" s="205"/>
      <c r="H36" s="190"/>
      <c r="I36" s="187"/>
      <c r="J36" s="184"/>
      <c r="K36" s="187">
        <f t="shared" si="31"/>
        <v>0</v>
      </c>
      <c r="L36" s="190"/>
      <c r="M36" s="187"/>
      <c r="N36" s="193"/>
      <c r="O36" s="123">
        <v>3</v>
      </c>
      <c r="P36" s="136"/>
      <c r="Q36" s="125" t="str">
        <f>IF(OR(R36="Preventivo",R36="Detectivo"),"Probabilidad",IF(R36="Correctivo","Impacto",""))</f>
        <v/>
      </c>
      <c r="R36" s="126"/>
      <c r="S36" s="126"/>
      <c r="T36" s="127" t="str">
        <f t="shared" ref="T36:T39" si="34">IF(AND(R36="Preventivo",S36="Automático"),"50%",IF(AND(R36="Preventivo",S36="Manual"),"40%",IF(AND(R36="Detectivo",S36="Automático"),"40%",IF(AND(R36="Detectivo",S36="Manual"),"30%",IF(AND(R36="Correctivo",S36="Automático"),"35%",IF(AND(R36="Correctivo",S36="Manual"),"25%",""))))))</f>
        <v/>
      </c>
      <c r="U36" s="126"/>
      <c r="V36" s="126"/>
      <c r="W36" s="126"/>
      <c r="X36" s="128" t="str">
        <f>IFERROR(IF(AND(Q35="Probabilidad",Q36="Probabilidad"),(Z35-(+Z35*T36)),IF(AND(Q35="Impacto",Q36="Probabilidad"),(Z34-(+Z34*T36)),IF(Q36="Impacto",Z35,""))),"")</f>
        <v/>
      </c>
      <c r="Y36" s="129" t="str">
        <f t="shared" si="1"/>
        <v/>
      </c>
      <c r="Z36" s="130" t="str">
        <f t="shared" si="32"/>
        <v/>
      </c>
      <c r="AA36" s="129" t="str">
        <f t="shared" si="3"/>
        <v/>
      </c>
      <c r="AB36" s="130" t="str">
        <f>IFERROR(IF(AND(Q35="Impacto",Q36="Impacto"),(AB35-(+AB35*T36)),IF(AND(Q35="Probabilidad",Q36="Impacto"),(AB34-(+AB34*T36)),IF(Q36="Probabilidad",AB35,""))),"")</f>
        <v/>
      </c>
      <c r="AC36" s="131" t="str">
        <f t="shared" si="33"/>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15">
      <c r="A37" s="196"/>
      <c r="B37" s="199"/>
      <c r="C37" s="199"/>
      <c r="D37" s="199"/>
      <c r="E37" s="202"/>
      <c r="F37" s="199"/>
      <c r="G37" s="205"/>
      <c r="H37" s="190"/>
      <c r="I37" s="187"/>
      <c r="J37" s="184"/>
      <c r="K37" s="187">
        <f t="shared" si="31"/>
        <v>0</v>
      </c>
      <c r="L37" s="190"/>
      <c r="M37" s="187"/>
      <c r="N37" s="193"/>
      <c r="O37" s="123">
        <v>4</v>
      </c>
      <c r="P37" s="124"/>
      <c r="Q37" s="125" t="str">
        <f t="shared" ref="Q37:Q39" si="35">IF(OR(R37="Preventivo",R37="Detectivo"),"Probabilidad",IF(R37="Correctivo","Impacto",""))</f>
        <v/>
      </c>
      <c r="R37" s="126"/>
      <c r="S37" s="126"/>
      <c r="T37" s="127" t="str">
        <f t="shared" si="34"/>
        <v/>
      </c>
      <c r="U37" s="126"/>
      <c r="V37" s="126"/>
      <c r="W37" s="126"/>
      <c r="X37" s="128" t="str">
        <f>IFERROR(IF(AND(Q36="Probabilidad",Q37="Probabilidad"),(Z36-(+Z36*T37)),IF(AND(Q36="Impacto",Q37="Probabilidad"),(Z35-(+Z35*T37)),IF(Q37="Impacto",Z36,""))),"")</f>
        <v/>
      </c>
      <c r="Y37" s="129" t="str">
        <f t="shared" si="1"/>
        <v/>
      </c>
      <c r="Z37" s="130" t="str">
        <f t="shared" si="32"/>
        <v/>
      </c>
      <c r="AA37" s="129" t="str">
        <f t="shared" si="3"/>
        <v/>
      </c>
      <c r="AB37" s="130" t="str">
        <f>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15">
      <c r="A38" s="196"/>
      <c r="B38" s="199"/>
      <c r="C38" s="199"/>
      <c r="D38" s="199"/>
      <c r="E38" s="202"/>
      <c r="F38" s="199"/>
      <c r="G38" s="205"/>
      <c r="H38" s="190"/>
      <c r="I38" s="187"/>
      <c r="J38" s="184"/>
      <c r="K38" s="187">
        <f t="shared" si="31"/>
        <v>0</v>
      </c>
      <c r="L38" s="190"/>
      <c r="M38" s="187"/>
      <c r="N38" s="193"/>
      <c r="O38" s="123">
        <v>5</v>
      </c>
      <c r="P38" s="124"/>
      <c r="Q38" s="125" t="str">
        <f t="shared" si="35"/>
        <v/>
      </c>
      <c r="R38" s="126"/>
      <c r="S38" s="126"/>
      <c r="T38" s="127" t="str">
        <f t="shared" si="34"/>
        <v/>
      </c>
      <c r="U38" s="126"/>
      <c r="V38" s="126"/>
      <c r="W38" s="126"/>
      <c r="X38" s="128" t="str">
        <f>IFERROR(IF(AND(Q37="Probabilidad",Q38="Probabilidad"),(Z37-(+Z37*T38)),IF(AND(Q37="Impacto",Q38="Probabilidad"),(Z36-(+Z36*T38)),IF(Q38="Impacto",Z37,""))),"")</f>
        <v/>
      </c>
      <c r="Y38" s="129" t="str">
        <f t="shared" si="1"/>
        <v/>
      </c>
      <c r="Z38" s="130" t="str">
        <f t="shared" si="32"/>
        <v/>
      </c>
      <c r="AA38" s="129" t="str">
        <f t="shared" si="3"/>
        <v/>
      </c>
      <c r="AB38" s="130" t="str">
        <f t="shared" ref="AB38:AB39" si="36">IFERROR(IF(AND(Q37="Impacto",Q38="Impacto"),(AB37-(+AB37*T38)),IF(AND(Q37="Probabilidad",Q38="Impacto"),(AB36-(+AB36*T38)),IF(Q38="Probabilidad",AB37,""))),"")</f>
        <v/>
      </c>
      <c r="AC38" s="131" t="str">
        <f t="shared" ref="AC38:AC39" si="37">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15">
      <c r="A39" s="197"/>
      <c r="B39" s="200"/>
      <c r="C39" s="200"/>
      <c r="D39" s="200"/>
      <c r="E39" s="203"/>
      <c r="F39" s="200"/>
      <c r="G39" s="206"/>
      <c r="H39" s="191"/>
      <c r="I39" s="188"/>
      <c r="J39" s="185"/>
      <c r="K39" s="188">
        <f>IF(NOT(ISERROR(MATCH(J39,_xlfn.ANCHORARRAY(E50),0))),I58&amp;"Por favor no seleccionar los criterios de impacto",J39)</f>
        <v>0</v>
      </c>
      <c r="L39" s="191"/>
      <c r="M39" s="188"/>
      <c r="N39" s="194"/>
      <c r="O39" s="123">
        <v>6</v>
      </c>
      <c r="P39" s="124"/>
      <c r="Q39" s="125" t="str">
        <f t="shared" si="35"/>
        <v/>
      </c>
      <c r="R39" s="126"/>
      <c r="S39" s="126"/>
      <c r="T39" s="127" t="str">
        <f t="shared" si="34"/>
        <v/>
      </c>
      <c r="U39" s="126"/>
      <c r="V39" s="126"/>
      <c r="W39" s="126"/>
      <c r="X39" s="128" t="str">
        <f>IFERROR(IF(AND(Q38="Probabilidad",Q39="Probabilidad"),(Z38-(+Z38*T39)),IF(AND(Q38="Impacto",Q39="Probabilidad"),(Z37-(+Z37*T39)),IF(Q39="Impacto",Z38,""))),"")</f>
        <v/>
      </c>
      <c r="Y39" s="129" t="str">
        <f t="shared" si="1"/>
        <v/>
      </c>
      <c r="Z39" s="130" t="str">
        <f t="shared" si="32"/>
        <v/>
      </c>
      <c r="AA39" s="129" t="str">
        <f t="shared" si="3"/>
        <v/>
      </c>
      <c r="AB39" s="130" t="str">
        <f t="shared" si="36"/>
        <v/>
      </c>
      <c r="AC39" s="131" t="str">
        <f t="shared" si="37"/>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15">
      <c r="A40" s="195">
        <f t="shared" ref="A40" si="38">+A34+1</f>
        <v>6</v>
      </c>
      <c r="B40" s="198" t="s">
        <v>131</v>
      </c>
      <c r="C40" s="198" t="s">
        <v>236</v>
      </c>
      <c r="D40" s="198"/>
      <c r="E40" s="201" t="s">
        <v>235</v>
      </c>
      <c r="F40" s="198" t="s">
        <v>121</v>
      </c>
      <c r="G40" s="204">
        <v>30</v>
      </c>
      <c r="H40" s="189" t="str">
        <f>IF(G40&lt;=0,"",IF(G40&lt;=2,"Muy Baja",IF(G40&lt;=24,"Baja",IF(G40&lt;=500,"Media",IF(G40&lt;=5000,"Alta","Muy Alta")))))</f>
        <v>Media</v>
      </c>
      <c r="I40" s="186">
        <f>IF(H40="","",IF(H40="Muy Baja",0.2,IF(H40="Baja",0.4,IF(H40="Media",0.6,IF(H40="Alta",0.8,IF(H40="Muy Alta",1,))))))</f>
        <v>0.6</v>
      </c>
      <c r="J40" s="183" t="s">
        <v>149</v>
      </c>
      <c r="K40" s="186" t="str">
        <f>IF(NOT(ISERROR(MATCH(J40,'Tabla Impacto'!$B$221:$B$223,0))),'Tabla Impacto'!$F$223&amp;"Por favor no seleccionar los criterios de impacto(Afectación Económica o presupuestal y Pérdida Reputacional)",J40)</f>
        <v xml:space="preserve">     Entre 100 y 500 SMLMV </v>
      </c>
      <c r="L40" s="189" t="str">
        <f>IF(OR(K40='Tabla Impacto'!$C$11,K40='Tabla Impacto'!$D$11),"Leve",IF(OR(K40='Tabla Impacto'!$C$12,K40='Tabla Impacto'!$D$12),"Menor",IF(OR(K40='Tabla Impacto'!$C$13,K40='Tabla Impacto'!$D$13),"Moderado",IF(OR(K40='Tabla Impacto'!$C$14,K40='Tabla Impacto'!$D$14),"Mayor",IF(OR(K40='Tabla Impacto'!$C$15,K40='Tabla Impacto'!$D$15),"Catastrófico","")))))</f>
        <v>Mayor</v>
      </c>
      <c r="M40" s="186">
        <f>IF(L40="","",IF(L40="Leve",0.2,IF(L40="Menor",0.4,IF(L40="Moderado",0.6,IF(L40="Mayor",0.8,IF(L40="Catastrófico",1,))))))</f>
        <v>0.8</v>
      </c>
      <c r="N40" s="192"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238</v>
      </c>
      <c r="Q40" s="125" t="str">
        <f>IF(OR(R40="Preventivo",R40="Detectivo"),"Probabilidad",IF(R40="Correctivo","Impacto",""))</f>
        <v>Probabilidad</v>
      </c>
      <c r="R40" s="126" t="s">
        <v>13</v>
      </c>
      <c r="S40" s="126" t="s">
        <v>9</v>
      </c>
      <c r="T40" s="127" t="str">
        <f>IF(AND(R40="Preventivo",S40="Automático"),"50%",IF(AND(R40="Preventivo",S40="Manual"),"40%",IF(AND(R40="Detectivo",S40="Automático"),"40%",IF(AND(R40="Detectivo",S40="Manual"),"30%",IF(AND(R40="Correctivo",S40="Automático"),"35%",IF(AND(R40="Correctivo",S40="Manual"),"25%",""))))))</f>
        <v>40%</v>
      </c>
      <c r="U40" s="126" t="s">
        <v>17</v>
      </c>
      <c r="V40" s="126" t="s">
        <v>20</v>
      </c>
      <c r="W40" s="126" t="s">
        <v>117</v>
      </c>
      <c r="X40" s="128">
        <f>IFERROR(IF(Q40="Probabilidad",(I40-(+I40*T40)),IF(Q40="Impacto",I40,"")),"")</f>
        <v>0.36</v>
      </c>
      <c r="Y40" s="129" t="str">
        <f>IFERROR(IF(X40="","",IF(X40&lt;=0.2,"Muy Baja",IF(X40&lt;=0.4,"Baja",IF(X40&lt;=0.6,"Media",IF(X40&lt;=0.8,"Alta","Muy Alta"))))),"")</f>
        <v>Baja</v>
      </c>
      <c r="Z40" s="130">
        <f>+X40</f>
        <v>0.36</v>
      </c>
      <c r="AA40" s="129" t="str">
        <f>IFERROR(IF(AB40="","",IF(AB40&lt;=0.2,"Leve",IF(AB40&lt;=0.4,"Menor",IF(AB40&lt;=0.6,"Moderado",IF(AB40&lt;=0.8,"Mayor","Catastrófico"))))),"")</f>
        <v>Mayor</v>
      </c>
      <c r="AB40" s="130">
        <f>IFERROR(IF(Q40="Impacto",(M40-(+M40*T40)),IF(Q40="Probabilidad",M40,"")),"")</f>
        <v>0.8</v>
      </c>
      <c r="AC40" s="131" t="str">
        <f t="shared" ref="AC40:AC46" si="39">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134</v>
      </c>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15">
      <c r="A41" s="196"/>
      <c r="B41" s="199"/>
      <c r="C41" s="199"/>
      <c r="D41" s="199"/>
      <c r="E41" s="202"/>
      <c r="F41" s="199"/>
      <c r="G41" s="205"/>
      <c r="H41" s="190"/>
      <c r="I41" s="187"/>
      <c r="J41" s="184"/>
      <c r="K41" s="187">
        <f>IF(NOT(ISERROR(MATCH(J41,_xlfn.ANCHORARRAY(E58),0))),I60&amp;"Por favor no seleccionar los criterios de impacto",J41)</f>
        <v>0</v>
      </c>
      <c r="L41" s="190"/>
      <c r="M41" s="187"/>
      <c r="N41" s="193"/>
      <c r="O41" s="123">
        <v>2</v>
      </c>
      <c r="P41" s="124" t="s">
        <v>239</v>
      </c>
      <c r="Q41" s="125" t="str">
        <f>IF(OR(R41="Preventivo",R41="Detectivo"),"Probabilidad",IF(R41="Correctivo","Impacto",""))</f>
        <v>Impacto</v>
      </c>
      <c r="R41" s="126" t="s">
        <v>14</v>
      </c>
      <c r="S41" s="126" t="s">
        <v>8</v>
      </c>
      <c r="T41" s="127" t="str">
        <f t="shared" ref="T41:T45" si="40">IF(AND(R41="Preventivo",S41="Automático"),"50%",IF(AND(R41="Preventivo",S41="Manual"),"40%",IF(AND(R41="Detectivo",S41="Automático"),"40%",IF(AND(R41="Detectivo",S41="Manual"),"30%",IF(AND(R41="Correctivo",S41="Automático"),"35%",IF(AND(R41="Correctivo",S41="Manual"),"25%",""))))))</f>
        <v>25%</v>
      </c>
      <c r="U41" s="126" t="s">
        <v>17</v>
      </c>
      <c r="V41" s="126" t="s">
        <v>20</v>
      </c>
      <c r="W41" s="126" t="s">
        <v>117</v>
      </c>
      <c r="X41" s="128">
        <f>IFERROR(IF(AND(Q40="Probabilidad",Q41="Probabilidad"),(Z40-(+Z40*T41)),IF(Q41="Probabilidad",(I40-(+I40*T41)),IF(Q41="Impacto",Z40,""))),"")</f>
        <v>0.36</v>
      </c>
      <c r="Y41" s="129" t="str">
        <f t="shared" si="1"/>
        <v>Baja</v>
      </c>
      <c r="Z41" s="130">
        <f t="shared" ref="Z41:Z45" si="41">+X41</f>
        <v>0.36</v>
      </c>
      <c r="AA41" s="129" t="str">
        <f t="shared" si="3"/>
        <v>Moderado</v>
      </c>
      <c r="AB41" s="130">
        <f>IFERROR(IF(AND(Q40="Impacto",Q41="Impacto"),(AB40-(+AB40*T41)),IF(Q41="Impacto",(M40-(+M40*T41)),IF(Q41="Probabilidad",AB40,""))),"")</f>
        <v>0.60000000000000009</v>
      </c>
      <c r="AC41" s="131" t="str">
        <f t="shared" si="39"/>
        <v>Moderado</v>
      </c>
      <c r="AD41" s="132" t="s">
        <v>134</v>
      </c>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15">
      <c r="A42" s="196"/>
      <c r="B42" s="199"/>
      <c r="C42" s="199"/>
      <c r="D42" s="199"/>
      <c r="E42" s="202"/>
      <c r="F42" s="199"/>
      <c r="G42" s="205"/>
      <c r="H42" s="190"/>
      <c r="I42" s="187"/>
      <c r="J42" s="184"/>
      <c r="K42" s="187">
        <f>IF(NOT(ISERROR(MATCH(J42,_xlfn.ANCHORARRAY(E59),0))),I61&amp;"Por favor no seleccionar los criterios de impacto",J42)</f>
        <v>0</v>
      </c>
      <c r="L42" s="190"/>
      <c r="M42" s="187"/>
      <c r="N42" s="193"/>
      <c r="O42" s="123">
        <v>3</v>
      </c>
      <c r="P42" s="136" t="s">
        <v>240</v>
      </c>
      <c r="Q42" s="125" t="str">
        <f>IF(OR(R42="Preventivo",R42="Detectivo"),"Probabilidad",IF(R42="Correctivo","Impacto",""))</f>
        <v>Impacto</v>
      </c>
      <c r="R42" s="126" t="s">
        <v>14</v>
      </c>
      <c r="S42" s="126" t="s">
        <v>8</v>
      </c>
      <c r="T42" s="127" t="str">
        <f t="shared" si="40"/>
        <v>25%</v>
      </c>
      <c r="U42" s="126" t="s">
        <v>17</v>
      </c>
      <c r="V42" s="126" t="s">
        <v>20</v>
      </c>
      <c r="W42" s="126" t="s">
        <v>117</v>
      </c>
      <c r="X42" s="128">
        <f>IFERROR(IF(AND(Q41="Probabilidad",Q42="Probabilidad"),(Z41-(+Z41*T42)),IF(AND(Q41="Impacto",Q42="Probabilidad"),(Z40-(+Z40*T42)),IF(Q42="Impacto",Z41,""))),"")</f>
        <v>0.36</v>
      </c>
      <c r="Y42" s="129" t="str">
        <f t="shared" si="1"/>
        <v>Baja</v>
      </c>
      <c r="Z42" s="130">
        <f t="shared" si="41"/>
        <v>0.36</v>
      </c>
      <c r="AA42" s="129" t="str">
        <f t="shared" si="3"/>
        <v>Moderado</v>
      </c>
      <c r="AB42" s="130">
        <f>IFERROR(IF(AND(Q41="Impacto",Q42="Impacto"),(AB41-(+AB41*T42)),IF(AND(Q41="Probabilidad",Q42="Impacto"),(AB40-(+AB40*T42)),IF(Q42="Probabilidad",AB41,""))),"")</f>
        <v>0.45000000000000007</v>
      </c>
      <c r="AC42" s="131" t="str">
        <f t="shared" si="39"/>
        <v>Moderado</v>
      </c>
      <c r="AD42" s="132" t="s">
        <v>134</v>
      </c>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15">
      <c r="A43" s="196"/>
      <c r="B43" s="199"/>
      <c r="C43" s="199"/>
      <c r="D43" s="199"/>
      <c r="E43" s="202"/>
      <c r="F43" s="199"/>
      <c r="G43" s="205"/>
      <c r="H43" s="190"/>
      <c r="I43" s="187"/>
      <c r="J43" s="184"/>
      <c r="K43" s="187">
        <f>IF(NOT(ISERROR(MATCH(J43,_xlfn.ANCHORARRAY(E60),0))),I62&amp;"Por favor no seleccionar los criterios de impacto",J43)</f>
        <v>0</v>
      </c>
      <c r="L43" s="190"/>
      <c r="M43" s="187"/>
      <c r="N43" s="193"/>
      <c r="O43" s="123">
        <v>4</v>
      </c>
      <c r="P43" s="124"/>
      <c r="Q43" s="125" t="str">
        <f t="shared" ref="Q43:Q45" si="42">IF(OR(R43="Preventivo",R43="Detectivo"),"Probabilidad",IF(R43="Correctivo","Impacto",""))</f>
        <v/>
      </c>
      <c r="R43" s="126"/>
      <c r="S43" s="126"/>
      <c r="T43" s="127" t="str">
        <f t="shared" si="40"/>
        <v/>
      </c>
      <c r="U43" s="126"/>
      <c r="V43" s="126"/>
      <c r="W43" s="126"/>
      <c r="X43" s="128" t="str">
        <f>IFERROR(IF(AND(Q42="Probabilidad",Q43="Probabilidad"),(Z42-(+Z42*T43)),IF(AND(Q42="Impacto",Q43="Probabilidad"),(Z41-(+Z41*T43)),IF(Q43="Impacto",Z42,""))),"")</f>
        <v/>
      </c>
      <c r="Y43" s="129" t="str">
        <f t="shared" si="1"/>
        <v/>
      </c>
      <c r="Z43" s="130" t="str">
        <f t="shared" si="41"/>
        <v/>
      </c>
      <c r="AA43" s="129" t="str">
        <f t="shared" si="3"/>
        <v/>
      </c>
      <c r="AB43" s="130" t="str">
        <f>IFERROR(IF(AND(Q42="Impacto",Q43="Impacto"),(AB42-(+AB42*T43)),IF(AND(Q42="Probabilidad",Q43="Impacto"),(AB41-(+AB41*T43)),IF(Q43="Probabilidad",AB42,""))),"")</f>
        <v/>
      </c>
      <c r="AC43" s="131" t="str">
        <f t="shared" si="39"/>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15">
      <c r="A44" s="196"/>
      <c r="B44" s="199"/>
      <c r="C44" s="199"/>
      <c r="D44" s="199"/>
      <c r="E44" s="202"/>
      <c r="F44" s="199"/>
      <c r="G44" s="205"/>
      <c r="H44" s="190"/>
      <c r="I44" s="187"/>
      <c r="J44" s="184"/>
      <c r="K44" s="187">
        <f>IF(NOT(ISERROR(MATCH(J44,_xlfn.ANCHORARRAY(E61),0))),I63&amp;"Por favor no seleccionar los criterios de impacto",J44)</f>
        <v>0</v>
      </c>
      <c r="L44" s="190"/>
      <c r="M44" s="187"/>
      <c r="N44" s="193"/>
      <c r="O44" s="123">
        <v>5</v>
      </c>
      <c r="P44" s="124"/>
      <c r="Q44" s="125" t="str">
        <f t="shared" si="42"/>
        <v/>
      </c>
      <c r="R44" s="126"/>
      <c r="S44" s="126"/>
      <c r="T44" s="127" t="str">
        <f t="shared" si="40"/>
        <v/>
      </c>
      <c r="U44" s="126"/>
      <c r="V44" s="126"/>
      <c r="W44" s="126"/>
      <c r="X44" s="128" t="str">
        <f>IFERROR(IF(AND(Q43="Probabilidad",Q44="Probabilidad"),(Z43-(+Z43*T44)),IF(AND(Q43="Impacto",Q44="Probabilidad"),(Z42-(+Z42*T44)),IF(Q44="Impacto",Z43,""))),"")</f>
        <v/>
      </c>
      <c r="Y44" s="129" t="str">
        <f t="shared" si="1"/>
        <v/>
      </c>
      <c r="Z44" s="130" t="str">
        <f t="shared" si="41"/>
        <v/>
      </c>
      <c r="AA44" s="129" t="str">
        <f t="shared" si="3"/>
        <v/>
      </c>
      <c r="AB44" s="130" t="str">
        <f>IFERROR(IF(AND(Q43="Impacto",Q44="Impacto"),(AB43-(+AB43*T44)),IF(AND(Q43="Probabilidad",Q44="Impacto"),(AB42-(+AB42*T44)),IF(Q44="Probabilidad",AB43,""))),"")</f>
        <v/>
      </c>
      <c r="AC44" s="131" t="str">
        <f t="shared" si="39"/>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15">
      <c r="A45" s="197"/>
      <c r="B45" s="200"/>
      <c r="C45" s="200"/>
      <c r="D45" s="200"/>
      <c r="E45" s="203"/>
      <c r="F45" s="200"/>
      <c r="G45" s="206"/>
      <c r="H45" s="191"/>
      <c r="I45" s="188"/>
      <c r="J45" s="185"/>
      <c r="K45" s="188">
        <f>IF(NOT(ISERROR(MATCH(J45,_xlfn.ANCHORARRAY(E62),0))),I64&amp;"Por favor no seleccionar los criterios de impacto",J45)</f>
        <v>0</v>
      </c>
      <c r="L45" s="191"/>
      <c r="M45" s="188"/>
      <c r="N45" s="194"/>
      <c r="O45" s="123">
        <v>6</v>
      </c>
      <c r="P45" s="124"/>
      <c r="Q45" s="125" t="str">
        <f t="shared" si="42"/>
        <v/>
      </c>
      <c r="R45" s="126"/>
      <c r="S45" s="126"/>
      <c r="T45" s="127" t="str">
        <f t="shared" si="40"/>
        <v/>
      </c>
      <c r="U45" s="126"/>
      <c r="V45" s="126"/>
      <c r="W45" s="126"/>
      <c r="X45" s="128" t="str">
        <f t="shared" ref="X45" si="43">IFERROR(IF(AND(Q44="Probabilidad",Q45="Probabilidad"),(Z44-(+Z44*T45)),IF(AND(Q44="Impacto",Q45="Probabilidad"),(Z43-(+Z43*T45)),IF(Q45="Impacto",Z44,""))),"")</f>
        <v/>
      </c>
      <c r="Y45" s="129" t="str">
        <f t="shared" si="1"/>
        <v/>
      </c>
      <c r="Z45" s="130" t="str">
        <f t="shared" si="41"/>
        <v/>
      </c>
      <c r="AA45" s="129" t="str">
        <f>IFERROR(IF(AB45="","",IF(AB45&lt;=0.2,"Leve",IF(AB45&lt;=0.4,"Menor",IF(AB45&lt;=0.6,"Moderado",IF(AB45&lt;=0.8,"Mayor","Catastrófico"))))),"")</f>
        <v/>
      </c>
      <c r="AB45" s="130" t="str">
        <f t="shared" ref="AB45" si="44">IFERROR(IF(AND(Q44="Impacto",Q45="Impacto"),(AB44-(+AB44*T45)),IF(AND(Q44="Probabilidad",Q45="Impacto"),(AB43-(+AB43*T45)),IF(Q45="Probabilidad",AB44,""))),"")</f>
        <v/>
      </c>
      <c r="AC45" s="131" t="str">
        <f t="shared" si="39"/>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15">
      <c r="A46" s="195">
        <f t="shared" ref="A46" si="45">+A40+1</f>
        <v>7</v>
      </c>
      <c r="B46" s="198" t="s">
        <v>131</v>
      </c>
      <c r="C46" s="198" t="s">
        <v>242</v>
      </c>
      <c r="D46" s="198"/>
      <c r="E46" s="201" t="s">
        <v>241</v>
      </c>
      <c r="F46" s="198" t="s">
        <v>121</v>
      </c>
      <c r="G46" s="204">
        <v>30</v>
      </c>
      <c r="H46" s="189" t="str">
        <f>IF(G46&lt;=0,"",IF(G46&lt;=2,"Muy Baja",IF(G46&lt;=24,"Baja",IF(G46&lt;=500,"Media",IF(G46&lt;=5000,"Alta","Muy Alta")))))</f>
        <v>Media</v>
      </c>
      <c r="I46" s="186">
        <f>IF(H46="","",IF(H46="Muy Baja",0.2,IF(H46="Baja",0.4,IF(H46="Media",0.6,IF(H46="Alta",0.8,IF(H46="Muy Alta",1,))))))</f>
        <v>0.6</v>
      </c>
      <c r="J46" s="183" t="s">
        <v>148</v>
      </c>
      <c r="K46" s="186" t="str">
        <f>IF(NOT(ISERROR(MATCH(J46,'Tabla Impacto'!$B$221:$B$223,0))),'Tabla Impacto'!$F$223&amp;"Por favor no seleccionar los criterios de impacto(Afectación Económica o presupuestal y Pérdida Reputacional)",J46)</f>
        <v xml:space="preserve">     Entre 10 y 50 SMLMV </v>
      </c>
      <c r="L46" s="189" t="str">
        <f>IF(OR(K46='Tabla Impacto'!$C$11,K46='Tabla Impacto'!$D$11),"Leve",IF(OR(K46='Tabla Impacto'!$C$12,K46='Tabla Impacto'!$D$12),"Menor",IF(OR(K46='Tabla Impacto'!$C$13,K46='Tabla Impacto'!$D$13),"Moderado",IF(OR(K46='Tabla Impacto'!$C$14,K46='Tabla Impacto'!$D$14),"Mayor",IF(OR(K46='Tabla Impacto'!$C$15,K46='Tabla Impacto'!$D$15),"Catastrófico","")))))</f>
        <v>Menor</v>
      </c>
      <c r="M46" s="186">
        <f>IF(L46="","",IF(L46="Leve",0.2,IF(L46="Menor",0.4,IF(L46="Moderado",0.6,IF(L46="Mayor",0.8,IF(L46="Catastrófico",1,))))))</f>
        <v>0.4</v>
      </c>
      <c r="N46" s="192"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243</v>
      </c>
      <c r="Q46" s="125" t="str">
        <f>IF(OR(R46="Preventivo",R46="Detectivo"),"Probabilidad",IF(R46="Correctivo","Impacto",""))</f>
        <v>Impacto</v>
      </c>
      <c r="R46" s="126" t="s">
        <v>14</v>
      </c>
      <c r="S46" s="126" t="s">
        <v>9</v>
      </c>
      <c r="T46" s="127" t="str">
        <f>IF(AND(R46="Preventivo",S46="Automático"),"50%",IF(AND(R46="Preventivo",S46="Manual"),"40%",IF(AND(R46="Detectivo",S46="Automático"),"40%",IF(AND(R46="Detectivo",S46="Manual"),"30%",IF(AND(R46="Correctivo",S46="Automático"),"35%",IF(AND(R46="Correctivo",S46="Manual"),"25%",""))))))</f>
        <v>35%</v>
      </c>
      <c r="U46" s="126" t="s">
        <v>17</v>
      </c>
      <c r="V46" s="126" t="s">
        <v>20</v>
      </c>
      <c r="W46" s="126" t="s">
        <v>117</v>
      </c>
      <c r="X46" s="128">
        <f>IFERROR(IF(Q46="Probabilidad",(I46-(+I46*T46)),IF(Q46="Impacto",I46,"")),"")</f>
        <v>0.6</v>
      </c>
      <c r="Y46" s="129" t="str">
        <f>IFERROR(IF(X46="","",IF(X46&lt;=0.2,"Muy Baja",IF(X46&lt;=0.4,"Baja",IF(X46&lt;=0.6,"Media",IF(X46&lt;=0.8,"Alta","Muy Alta"))))),"")</f>
        <v>Media</v>
      </c>
      <c r="Z46" s="130">
        <f>+X46</f>
        <v>0.6</v>
      </c>
      <c r="AA46" s="129" t="str">
        <f>IFERROR(IF(AB46="","",IF(AB46&lt;=0.2,"Leve",IF(AB46&lt;=0.4,"Menor",IF(AB46&lt;=0.6,"Moderado",IF(AB46&lt;=0.8,"Mayor","Catastrófico"))))),"")</f>
        <v>Menor</v>
      </c>
      <c r="AB46" s="130">
        <f>IFERROR(IF(Q46="Impacto",(M46-(+M46*T46)),IF(Q46="Probabilidad",M46,"")),"")</f>
        <v>0.26</v>
      </c>
      <c r="AC46" s="131" t="str">
        <f t="shared" si="39"/>
        <v>Moderado</v>
      </c>
      <c r="AD46" s="132" t="s">
        <v>134</v>
      </c>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15">
      <c r="A47" s="196"/>
      <c r="B47" s="199"/>
      <c r="C47" s="199"/>
      <c r="D47" s="199"/>
      <c r="E47" s="202"/>
      <c r="F47" s="199"/>
      <c r="G47" s="205"/>
      <c r="H47" s="190"/>
      <c r="I47" s="187"/>
      <c r="J47" s="184"/>
      <c r="K47" s="187">
        <f>IF(NOT(ISERROR(MATCH(J47,_xlfn.ANCHORARRAY(E64),0))),I66&amp;"Por favor no seleccionar los criterios de impacto",J47)</f>
        <v>0</v>
      </c>
      <c r="L47" s="190"/>
      <c r="M47" s="187"/>
      <c r="N47" s="193"/>
      <c r="O47" s="123">
        <v>2</v>
      </c>
      <c r="P47" s="124"/>
      <c r="Q47" s="125" t="str">
        <f>IF(OR(R47="Preventivo",R47="Detectivo"),"Probabilidad",IF(R47="Correctivo","Impacto",""))</f>
        <v/>
      </c>
      <c r="R47" s="126"/>
      <c r="S47" s="126"/>
      <c r="T47" s="127" t="str">
        <f t="shared" ref="T47:T51" si="46">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7">+X47</f>
        <v/>
      </c>
      <c r="AA47" s="129" t="str">
        <f t="shared" si="3"/>
        <v/>
      </c>
      <c r="AB47" s="130" t="str">
        <f>IFERROR(IF(AND(Q46="Impacto",Q47="Impacto"),(AB46-(+AB46*T47)),IF(Q47="Impacto",(M46-(+M46*T47)),IF(Q47="Probabilidad",AB46,""))),"")</f>
        <v/>
      </c>
      <c r="AC47" s="131" t="str">
        <f t="shared" ref="AC47:AC48" si="48">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t="s">
        <v>134</v>
      </c>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15">
      <c r="A48" s="196"/>
      <c r="B48" s="199"/>
      <c r="C48" s="199"/>
      <c r="D48" s="199"/>
      <c r="E48" s="202"/>
      <c r="F48" s="199"/>
      <c r="G48" s="205"/>
      <c r="H48" s="190"/>
      <c r="I48" s="187"/>
      <c r="J48" s="184"/>
      <c r="K48" s="187">
        <f>IF(NOT(ISERROR(MATCH(J48,_xlfn.ANCHORARRAY(E65),0))),I67&amp;"Por favor no seleccionar los criterios de impacto",J48)</f>
        <v>0</v>
      </c>
      <c r="L48" s="190"/>
      <c r="M48" s="187"/>
      <c r="N48" s="193"/>
      <c r="O48" s="123">
        <v>3</v>
      </c>
      <c r="P48" s="136"/>
      <c r="Q48" s="125" t="str">
        <f>IF(OR(R48="Preventivo",R48="Detectivo"),"Probabilidad",IF(R48="Correctivo","Impacto",""))</f>
        <v/>
      </c>
      <c r="R48" s="126"/>
      <c r="S48" s="126"/>
      <c r="T48" s="127" t="str">
        <f t="shared" si="46"/>
        <v/>
      </c>
      <c r="U48" s="126"/>
      <c r="V48" s="126"/>
      <c r="W48" s="126"/>
      <c r="X48" s="128" t="str">
        <f>IFERROR(IF(AND(Q47="Probabilidad",Q48="Probabilidad"),(Z47-(+Z47*T48)),IF(AND(Q47="Impacto",Q48="Probabilidad"),(Z46-(+Z46*T48)),IF(Q48="Impacto",Z47,""))),"")</f>
        <v/>
      </c>
      <c r="Y48" s="129" t="str">
        <f t="shared" si="1"/>
        <v/>
      </c>
      <c r="Z48" s="130" t="str">
        <f t="shared" si="47"/>
        <v/>
      </c>
      <c r="AA48" s="129" t="str">
        <f t="shared" si="3"/>
        <v/>
      </c>
      <c r="AB48" s="130" t="str">
        <f>IFERROR(IF(AND(Q47="Impacto",Q48="Impacto"),(AB47-(+AB47*T48)),IF(AND(Q47="Probabilidad",Q48="Impacto"),(AB46-(+AB46*T48)),IF(Q48="Probabilidad",AB47,""))),"")</f>
        <v/>
      </c>
      <c r="AC48" s="131" t="str">
        <f t="shared" si="48"/>
        <v/>
      </c>
      <c r="AD48" s="132" t="s">
        <v>29</v>
      </c>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15">
      <c r="A49" s="196"/>
      <c r="B49" s="199"/>
      <c r="C49" s="199"/>
      <c r="D49" s="199"/>
      <c r="E49" s="202"/>
      <c r="F49" s="199"/>
      <c r="G49" s="205"/>
      <c r="H49" s="190"/>
      <c r="I49" s="187"/>
      <c r="J49" s="184"/>
      <c r="K49" s="187">
        <f>IF(NOT(ISERROR(MATCH(J49,_xlfn.ANCHORARRAY(E66),0))),I68&amp;"Por favor no seleccionar los criterios de impacto",J49)</f>
        <v>0</v>
      </c>
      <c r="L49" s="190"/>
      <c r="M49" s="187"/>
      <c r="N49" s="193"/>
      <c r="O49" s="123">
        <v>4</v>
      </c>
      <c r="P49" s="124"/>
      <c r="Q49" s="125" t="str">
        <f t="shared" ref="Q49:Q51" si="49">IF(OR(R49="Preventivo",R49="Detectivo"),"Probabilidad",IF(R49="Correctivo","Impacto",""))</f>
        <v/>
      </c>
      <c r="R49" s="126"/>
      <c r="S49" s="126"/>
      <c r="T49" s="127" t="str">
        <f t="shared" si="46"/>
        <v/>
      </c>
      <c r="U49" s="126"/>
      <c r="V49" s="126"/>
      <c r="W49" s="126"/>
      <c r="X49" s="128" t="str">
        <f t="shared" ref="X49:X51" si="50">IFERROR(IF(AND(Q48="Probabilidad",Q49="Probabilidad"),(Z48-(+Z48*T49)),IF(AND(Q48="Impacto",Q49="Probabilidad"),(Z47-(+Z47*T49)),IF(Q49="Impacto",Z48,""))),"")</f>
        <v/>
      </c>
      <c r="Y49" s="129" t="str">
        <f t="shared" si="1"/>
        <v/>
      </c>
      <c r="Z49" s="130" t="str">
        <f t="shared" si="47"/>
        <v/>
      </c>
      <c r="AA49" s="129" t="str">
        <f t="shared" si="3"/>
        <v/>
      </c>
      <c r="AB49" s="130" t="str">
        <f t="shared" ref="AB49:AB51" si="51">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15">
      <c r="A50" s="196"/>
      <c r="B50" s="199"/>
      <c r="C50" s="199"/>
      <c r="D50" s="199"/>
      <c r="E50" s="202"/>
      <c r="F50" s="199"/>
      <c r="G50" s="205"/>
      <c r="H50" s="190"/>
      <c r="I50" s="187"/>
      <c r="J50" s="184"/>
      <c r="K50" s="187">
        <f>IF(NOT(ISERROR(MATCH(J50,_xlfn.ANCHORARRAY(E67),0))),I69&amp;"Por favor no seleccionar los criterios de impacto",J50)</f>
        <v>0</v>
      </c>
      <c r="L50" s="190"/>
      <c r="M50" s="187"/>
      <c r="N50" s="193"/>
      <c r="O50" s="123">
        <v>5</v>
      </c>
      <c r="P50" s="124"/>
      <c r="Q50" s="125" t="str">
        <f t="shared" si="49"/>
        <v/>
      </c>
      <c r="R50" s="126"/>
      <c r="S50" s="126"/>
      <c r="T50" s="127" t="str">
        <f t="shared" si="46"/>
        <v/>
      </c>
      <c r="U50" s="126"/>
      <c r="V50" s="126"/>
      <c r="W50" s="126"/>
      <c r="X50" s="128" t="str">
        <f t="shared" si="50"/>
        <v/>
      </c>
      <c r="Y50" s="129" t="str">
        <f t="shared" si="1"/>
        <v/>
      </c>
      <c r="Z50" s="130" t="str">
        <f t="shared" si="47"/>
        <v/>
      </c>
      <c r="AA50" s="129" t="str">
        <f t="shared" si="3"/>
        <v/>
      </c>
      <c r="AB50" s="130" t="str">
        <f t="shared" si="51"/>
        <v/>
      </c>
      <c r="AC50" s="131" t="str">
        <f t="shared" ref="AC50:AC51" si="52">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15">
      <c r="A51" s="197"/>
      <c r="B51" s="200"/>
      <c r="C51" s="200"/>
      <c r="D51" s="200"/>
      <c r="E51" s="203"/>
      <c r="F51" s="200"/>
      <c r="G51" s="206"/>
      <c r="H51" s="191"/>
      <c r="I51" s="188"/>
      <c r="J51" s="185"/>
      <c r="K51" s="188">
        <f>IF(NOT(ISERROR(MATCH(J51,_xlfn.ANCHORARRAY(E68),0))),#REF!&amp;"Por favor no seleccionar los criterios de impacto",J51)</f>
        <v>0</v>
      </c>
      <c r="L51" s="191"/>
      <c r="M51" s="188"/>
      <c r="N51" s="194"/>
      <c r="O51" s="123">
        <v>6</v>
      </c>
      <c r="P51" s="124"/>
      <c r="Q51" s="125" t="str">
        <f t="shared" si="49"/>
        <v/>
      </c>
      <c r="R51" s="126"/>
      <c r="S51" s="126"/>
      <c r="T51" s="127" t="str">
        <f t="shared" si="46"/>
        <v/>
      </c>
      <c r="U51" s="126"/>
      <c r="V51" s="126"/>
      <c r="W51" s="126"/>
      <c r="X51" s="128" t="str">
        <f t="shared" si="50"/>
        <v/>
      </c>
      <c r="Y51" s="129" t="str">
        <f t="shared" si="1"/>
        <v/>
      </c>
      <c r="Z51" s="130" t="str">
        <f t="shared" si="47"/>
        <v/>
      </c>
      <c r="AA51" s="129" t="str">
        <f t="shared" si="3"/>
        <v/>
      </c>
      <c r="AB51" s="130" t="str">
        <f t="shared" si="51"/>
        <v/>
      </c>
      <c r="AC51" s="131" t="str">
        <f t="shared" si="52"/>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38.25" customHeight="1" x14ac:dyDescent="0.15">
      <c r="A52" s="195">
        <f t="shared" ref="A52" si="53">+A46+1</f>
        <v>8</v>
      </c>
      <c r="B52" s="198" t="s">
        <v>131</v>
      </c>
      <c r="C52" s="198" t="s">
        <v>245</v>
      </c>
      <c r="D52" s="198"/>
      <c r="E52" s="201" t="s">
        <v>244</v>
      </c>
      <c r="F52" s="198" t="s">
        <v>121</v>
      </c>
      <c r="G52" s="204">
        <v>30</v>
      </c>
      <c r="H52" s="189" t="str">
        <f>IF(G52&lt;=0,"",IF(G52&lt;=2,"Muy Baja",IF(G52&lt;=24,"Baja",IF(G52&lt;=500,"Media",IF(G52&lt;=5000,"Alta","Muy Alta")))))</f>
        <v>Media</v>
      </c>
      <c r="I52" s="186">
        <f>IF(H52="","",IF(H52="Muy Baja",0.2,IF(H52="Baja",0.4,IF(H52="Media",0.6,IF(H52="Alta",0.8,IF(H52="Muy Alta",1,))))))</f>
        <v>0.6</v>
      </c>
      <c r="J52" s="183" t="s">
        <v>150</v>
      </c>
      <c r="K52" s="186" t="str">
        <f>IF(NOT(ISERROR(MATCH(J52,'Tabla Impacto'!$B$221:$B$223,0))),'Tabla Impacto'!$F$223&amp;"Por favor no seleccionar los criterios de impacto(Afectación Económica o presupuestal y Pérdida Reputacional)",J52)</f>
        <v xml:space="preserve">     Mayor a 500 SMLMV </v>
      </c>
      <c r="L52" s="189" t="str">
        <f>IF(OR(K52='Tabla Impacto'!$C$11,K52='Tabla Impacto'!$D$11),"Leve",IF(OR(K52='Tabla Impacto'!$C$12,K52='Tabla Impacto'!$D$12),"Menor",IF(OR(K52='Tabla Impacto'!$C$13,K52='Tabla Impacto'!$D$13),"Moderado",IF(OR(K52='Tabla Impacto'!$C$14,K52='Tabla Impacto'!$D$14),"Mayor",IF(OR(K52='Tabla Impacto'!$C$15,K52='Tabla Impacto'!$D$15),"Catastrófico","")))))</f>
        <v>Catastrófico</v>
      </c>
      <c r="M52" s="186">
        <f>IF(L52="","",IF(L52="Leve",0.2,IF(L52="Menor",0.4,IF(L52="Moderado",0.6,IF(L52="Mayor",0.8,IF(L52="Catastrófico",1,))))))</f>
        <v>1</v>
      </c>
      <c r="N52" s="192"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Extremo</v>
      </c>
      <c r="O52" s="123">
        <v>1</v>
      </c>
      <c r="P52" s="124" t="s">
        <v>246</v>
      </c>
      <c r="Q52" s="125" t="str">
        <f>IF(OR(R52="Preventivo",R52="Detectivo"),"Probabilidad",IF(R52="Correctivo","Impacto",""))</f>
        <v>Impacto</v>
      </c>
      <c r="R52" s="126" t="s">
        <v>14</v>
      </c>
      <c r="S52" s="126" t="s">
        <v>9</v>
      </c>
      <c r="T52" s="127" t="str">
        <f>IF(AND(R52="Preventivo",S52="Automático"),"50%",IF(AND(R52="Preventivo",S52="Manual"),"40%",IF(AND(R52="Detectivo",S52="Automático"),"40%",IF(AND(R52="Detectivo",S52="Manual"),"30%",IF(AND(R52="Correctivo",S52="Automático"),"50%",IF(AND(R52="Correctivo",S52="Manual"),"25%",""))))))</f>
        <v>50%</v>
      </c>
      <c r="U52" s="126" t="s">
        <v>17</v>
      </c>
      <c r="V52" s="126" t="s">
        <v>20</v>
      </c>
      <c r="W52" s="126" t="s">
        <v>117</v>
      </c>
      <c r="X52" s="128">
        <f>IFERROR(IF(Q52="Probabilidad",(I52-(+I52*T52)),IF(Q52="Impacto",I52,"")),"")</f>
        <v>0.6</v>
      </c>
      <c r="Y52" s="129" t="str">
        <f>IFERROR(IF(X52="","",IF(X52&lt;=0.2,"Muy Baja",IF(X52&lt;=0.4,"Baja",IF(X52&lt;=0.6,"Media",IF(X52&lt;=0.8,"Alta","Muy Alta"))))),"")</f>
        <v>Media</v>
      </c>
      <c r="Z52" s="130">
        <f>+X52</f>
        <v>0.6</v>
      </c>
      <c r="AA52" s="129" t="str">
        <f>IFERROR(IF(AB52="","",IF(AB52&lt;=0.2,"Leve",IF(AB52&lt;=0.4,"Menor",IF(AB52&lt;=0.6,"Moderado",IF(AB52&lt;=0.8,"Mayor","Catastrófico"))))),"")</f>
        <v>Moderado</v>
      </c>
      <c r="AB52" s="130">
        <f>IFERROR(IF(Q52="Impacto",(M52-(+M52*T52)),IF(Q52="Probabilidad",M52,"")),"")</f>
        <v>0.5</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134</v>
      </c>
      <c r="AE52" s="133" t="s">
        <v>330</v>
      </c>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15">
      <c r="A53" s="196"/>
      <c r="B53" s="199"/>
      <c r="C53" s="199"/>
      <c r="D53" s="199"/>
      <c r="E53" s="202"/>
      <c r="F53" s="199"/>
      <c r="G53" s="205"/>
      <c r="H53" s="190"/>
      <c r="I53" s="187"/>
      <c r="J53" s="184"/>
      <c r="K53" s="187">
        <f>IF(NOT(ISERROR(MATCH(J53,_xlfn.ANCHORARRAY(#REF!),0))),#REF!&amp;"Por favor no seleccionar los criterios de impacto",J53)</f>
        <v>0</v>
      </c>
      <c r="L53" s="190"/>
      <c r="M53" s="187"/>
      <c r="N53" s="193"/>
      <c r="O53" s="123">
        <v>2</v>
      </c>
      <c r="P53" s="124"/>
      <c r="Q53" s="125" t="str">
        <f>IF(OR(R53="Preventivo",R53="Detectivo"),"Probabilidad",IF(R53="Correctivo","Impacto",""))</f>
        <v/>
      </c>
      <c r="R53" s="126"/>
      <c r="S53" s="126"/>
      <c r="T53" s="127" t="str">
        <f t="shared" ref="T53:T57" si="54">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ref="Y53:Y57" si="55">IFERROR(IF(X53="","",IF(X53&lt;=0.2,"Muy Baja",IF(X53&lt;=0.4,"Baja",IF(X53&lt;=0.6,"Media",IF(X53&lt;=0.8,"Alta","Muy Alta"))))),"")</f>
        <v/>
      </c>
      <c r="Z53" s="130" t="str">
        <f t="shared" ref="Z53:Z57" si="56">+X53</f>
        <v/>
      </c>
      <c r="AA53" s="129" t="str">
        <f t="shared" ref="AA53:AA57" si="57">IFERROR(IF(AB53="","",IF(AB53&lt;=0.2,"Leve",IF(AB53&lt;=0.4,"Menor",IF(AB53&lt;=0.6,"Moderado",IF(AB53&lt;=0.8,"Mayor","Catastrófico"))))),"")</f>
        <v/>
      </c>
      <c r="AB53" s="130" t="str">
        <f>IFERROR(IF(AND(Q52="Impacto",Q53="Impacto"),(AB52-(+AB52*T53)),IF(Q53="Impacto",(M52-(+M52*T53)),IF(Q53="Probabilidad",AB52,""))),"")</f>
        <v/>
      </c>
      <c r="AC53" s="131" t="str">
        <f t="shared" ref="AC53:AC54" si="58">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15">
      <c r="A54" s="196"/>
      <c r="B54" s="199"/>
      <c r="C54" s="199"/>
      <c r="D54" s="199"/>
      <c r="E54" s="202"/>
      <c r="F54" s="199"/>
      <c r="G54" s="205"/>
      <c r="H54" s="190"/>
      <c r="I54" s="187"/>
      <c r="J54" s="184"/>
      <c r="K54" s="187">
        <f>IF(NOT(ISERROR(MATCH(J54,_xlfn.ANCHORARRAY(#REF!),0))),#REF!&amp;"Por favor no seleccionar los criterios de impacto",J54)</f>
        <v>0</v>
      </c>
      <c r="L54" s="190"/>
      <c r="M54" s="187"/>
      <c r="N54" s="193"/>
      <c r="O54" s="123">
        <v>3</v>
      </c>
      <c r="P54" s="136"/>
      <c r="Q54" s="125" t="str">
        <f>IF(OR(R54="Preventivo",R54="Detectivo"),"Probabilidad",IF(R54="Correctivo","Impacto",""))</f>
        <v/>
      </c>
      <c r="R54" s="126"/>
      <c r="S54" s="126"/>
      <c r="T54" s="127" t="str">
        <f t="shared" si="54"/>
        <v/>
      </c>
      <c r="U54" s="126"/>
      <c r="V54" s="126"/>
      <c r="W54" s="126"/>
      <c r="X54" s="128" t="str">
        <f>IFERROR(IF(AND(Q53="Probabilidad",Q54="Probabilidad"),(Z53-(+Z53*T54)),IF(AND(Q53="Impacto",Q54="Probabilidad"),(Z52-(+Z52*T54)),IF(Q54="Impacto",Z53,""))),"")</f>
        <v/>
      </c>
      <c r="Y54" s="129" t="str">
        <f t="shared" si="55"/>
        <v/>
      </c>
      <c r="Z54" s="130" t="str">
        <f t="shared" si="56"/>
        <v/>
      </c>
      <c r="AA54" s="129" t="str">
        <f t="shared" si="57"/>
        <v/>
      </c>
      <c r="AB54" s="130" t="str">
        <f>IFERROR(IF(AND(Q53="Impacto",Q54="Impacto"),(AB53-(+AB53*T54)),IF(AND(Q53="Probabilidad",Q54="Impacto"),(AB52-(+AB52*T54)),IF(Q54="Probabilidad",AB53,""))),"")</f>
        <v/>
      </c>
      <c r="AC54" s="131" t="str">
        <f t="shared" si="58"/>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15">
      <c r="A55" s="196"/>
      <c r="B55" s="199"/>
      <c r="C55" s="199"/>
      <c r="D55" s="199"/>
      <c r="E55" s="202"/>
      <c r="F55" s="199"/>
      <c r="G55" s="205"/>
      <c r="H55" s="190"/>
      <c r="I55" s="187"/>
      <c r="J55" s="184"/>
      <c r="K55" s="187">
        <f>IF(NOT(ISERROR(MATCH(J55,_xlfn.ANCHORARRAY(#REF!),0))),#REF!&amp;"Por favor no seleccionar los criterios de impacto",J55)</f>
        <v>0</v>
      </c>
      <c r="L55" s="190"/>
      <c r="M55" s="187"/>
      <c r="N55" s="193"/>
      <c r="O55" s="123">
        <v>4</v>
      </c>
      <c r="P55" s="124"/>
      <c r="Q55" s="125" t="str">
        <f t="shared" ref="Q55:Q57" si="59">IF(OR(R55="Preventivo",R55="Detectivo"),"Probabilidad",IF(R55="Correctivo","Impacto",""))</f>
        <v/>
      </c>
      <c r="R55" s="126"/>
      <c r="S55" s="126"/>
      <c r="T55" s="127" t="str">
        <f t="shared" si="54"/>
        <v/>
      </c>
      <c r="U55" s="126"/>
      <c r="V55" s="126"/>
      <c r="W55" s="126"/>
      <c r="X55" s="128" t="str">
        <f t="shared" ref="X55:X57" si="60">IFERROR(IF(AND(Q54="Probabilidad",Q55="Probabilidad"),(Z54-(+Z54*T55)),IF(AND(Q54="Impacto",Q55="Probabilidad"),(Z53-(+Z53*T55)),IF(Q55="Impacto",Z54,""))),"")</f>
        <v/>
      </c>
      <c r="Y55" s="129" t="str">
        <f t="shared" si="55"/>
        <v/>
      </c>
      <c r="Z55" s="130" t="str">
        <f t="shared" si="56"/>
        <v/>
      </c>
      <c r="AA55" s="129" t="str">
        <f t="shared" si="57"/>
        <v/>
      </c>
      <c r="AB55" s="130" t="str">
        <f t="shared" ref="AB55:AB57" si="61">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15">
      <c r="A56" s="196"/>
      <c r="B56" s="199"/>
      <c r="C56" s="199"/>
      <c r="D56" s="199"/>
      <c r="E56" s="202"/>
      <c r="F56" s="199"/>
      <c r="G56" s="205"/>
      <c r="H56" s="190"/>
      <c r="I56" s="187"/>
      <c r="J56" s="184"/>
      <c r="K56" s="187">
        <f>IF(NOT(ISERROR(MATCH(J56,_xlfn.ANCHORARRAY(#REF!),0))),#REF!&amp;"Por favor no seleccionar los criterios de impacto",J56)</f>
        <v>0</v>
      </c>
      <c r="L56" s="190"/>
      <c r="M56" s="187"/>
      <c r="N56" s="193"/>
      <c r="O56" s="123">
        <v>5</v>
      </c>
      <c r="P56" s="124"/>
      <c r="Q56" s="125" t="str">
        <f t="shared" si="59"/>
        <v/>
      </c>
      <c r="R56" s="126"/>
      <c r="S56" s="126"/>
      <c r="T56" s="127" t="str">
        <f t="shared" si="54"/>
        <v/>
      </c>
      <c r="U56" s="126"/>
      <c r="V56" s="126"/>
      <c r="W56" s="126"/>
      <c r="X56" s="128" t="str">
        <f t="shared" si="60"/>
        <v/>
      </c>
      <c r="Y56" s="129" t="str">
        <f t="shared" si="55"/>
        <v/>
      </c>
      <c r="Z56" s="130" t="str">
        <f t="shared" si="56"/>
        <v/>
      </c>
      <c r="AA56" s="129" t="str">
        <f t="shared" si="57"/>
        <v/>
      </c>
      <c r="AB56" s="130" t="str">
        <f t="shared" si="61"/>
        <v/>
      </c>
      <c r="AC56" s="131" t="str">
        <f t="shared" ref="AC56:AC57" si="62">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15">
      <c r="A57" s="197"/>
      <c r="B57" s="200"/>
      <c r="C57" s="200"/>
      <c r="D57" s="200"/>
      <c r="E57" s="203"/>
      <c r="F57" s="200"/>
      <c r="G57" s="206"/>
      <c r="H57" s="191"/>
      <c r="I57" s="188"/>
      <c r="J57" s="185"/>
      <c r="K57" s="188">
        <f>IF(NOT(ISERROR(MATCH(J57,_xlfn.ANCHORARRAY(#REF!),0))),I221&amp;"Por favor no seleccionar los criterios de impacto",J57)</f>
        <v>0</v>
      </c>
      <c r="L57" s="191"/>
      <c r="M57" s="188"/>
      <c r="N57" s="194"/>
      <c r="O57" s="123">
        <v>6</v>
      </c>
      <c r="P57" s="124"/>
      <c r="Q57" s="125" t="str">
        <f t="shared" si="59"/>
        <v/>
      </c>
      <c r="R57" s="126"/>
      <c r="S57" s="126"/>
      <c r="T57" s="127" t="str">
        <f t="shared" si="54"/>
        <v/>
      </c>
      <c r="U57" s="126"/>
      <c r="V57" s="126"/>
      <c r="W57" s="126"/>
      <c r="X57" s="128" t="str">
        <f t="shared" si="60"/>
        <v/>
      </c>
      <c r="Y57" s="129" t="str">
        <f t="shared" si="55"/>
        <v/>
      </c>
      <c r="Z57" s="130" t="str">
        <f t="shared" si="56"/>
        <v/>
      </c>
      <c r="AA57" s="129" t="str">
        <f t="shared" si="57"/>
        <v/>
      </c>
      <c r="AB57" s="130" t="str">
        <f t="shared" si="61"/>
        <v/>
      </c>
      <c r="AC57" s="131" t="str">
        <f t="shared" si="62"/>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15">
      <c r="A58" s="195">
        <f t="shared" ref="A58" si="63">+A52+1</f>
        <v>9</v>
      </c>
      <c r="B58" s="198" t="s">
        <v>131</v>
      </c>
      <c r="C58" s="198" t="s">
        <v>248</v>
      </c>
      <c r="D58" s="198"/>
      <c r="E58" s="201" t="s">
        <v>247</v>
      </c>
      <c r="F58" s="198" t="s">
        <v>121</v>
      </c>
      <c r="G58" s="204">
        <v>30</v>
      </c>
      <c r="H58" s="189" t="str">
        <f>IF(G58&lt;=0,"",IF(G58&lt;=2,"Muy Baja",IF(G58&lt;=24,"Baja",IF(G58&lt;=500,"Media",IF(G58&lt;=5000,"Alta","Muy Alta")))))</f>
        <v>Media</v>
      </c>
      <c r="I58" s="186">
        <f>IF(H58="","",IF(H58="Muy Baja",0.2,IF(H58="Baja",0.4,IF(H58="Media",0.6,IF(H58="Alta",0.8,IF(H58="Muy Alta",1,))))))</f>
        <v>0.6</v>
      </c>
      <c r="J58" s="183" t="s">
        <v>149</v>
      </c>
      <c r="K58" s="186" t="str">
        <f>IF(NOT(ISERROR(MATCH(J58,'Tabla Impacto'!$B$221:$B$223,0))),'Tabla Impacto'!$F$223&amp;"Por favor no seleccionar los criterios de impacto(Afectación Económica o presupuestal y Pérdida Reputacional)",J58)</f>
        <v xml:space="preserve">     Entre 100 y 500 SMLMV </v>
      </c>
      <c r="L58" s="189" t="str">
        <f>IF(OR(K58='Tabla Impacto'!$C$11,K58='Tabla Impacto'!$D$11),"Leve",IF(OR(K58='Tabla Impacto'!$C$12,K58='Tabla Impacto'!$D$12),"Menor",IF(OR(K58='Tabla Impacto'!$C$13,K58='Tabla Impacto'!$D$13),"Moderado",IF(OR(K58='Tabla Impacto'!$C$14,K58='Tabla Impacto'!$D$14),"Mayor",IF(OR(K58='Tabla Impacto'!$C$15,K58='Tabla Impacto'!$D$15),"Catastrófico","")))))</f>
        <v>Mayor</v>
      </c>
      <c r="M58" s="186">
        <f>IF(L58="","",IF(L58="Leve",0.2,IF(L58="Menor",0.4,IF(L58="Moderado",0.6,IF(L58="Mayor",0.8,IF(L58="Catastrófico",1,))))))</f>
        <v>0.8</v>
      </c>
      <c r="N58" s="192"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Alto</v>
      </c>
      <c r="O58" s="123">
        <v>1</v>
      </c>
      <c r="P58" s="124" t="s">
        <v>249</v>
      </c>
      <c r="Q58" s="125" t="str">
        <f>IF(OR(R58="Preventivo",R58="Detectivo"),"Probabilidad",IF(R58="Correctivo","Impacto",""))</f>
        <v>Impacto</v>
      </c>
      <c r="R58" s="126" t="s">
        <v>14</v>
      </c>
      <c r="S58" s="126" t="s">
        <v>9</v>
      </c>
      <c r="T58" s="127" t="str">
        <f>IF(AND(R58="Preventivo",S58="Automático"),"50%",IF(AND(R58="Preventivo",S58="Manual"),"40%",IF(AND(R58="Detectivo",S58="Automático"),"40%",IF(AND(R58="Detectivo",S58="Manual"),"30%",IF(AND(R58="Correctivo",S58="Automático"),"35%",IF(AND(R58="Correctivo",S58="Manual"),"25%",""))))))</f>
        <v>35%</v>
      </c>
      <c r="U58" s="126" t="s">
        <v>17</v>
      </c>
      <c r="V58" s="126" t="s">
        <v>20</v>
      </c>
      <c r="W58" s="126" t="s">
        <v>117</v>
      </c>
      <c r="X58" s="128">
        <f>IFERROR(IF(Q58="Probabilidad",(I58-(+I58*T58)),IF(Q58="Impacto",I58,"")),"")</f>
        <v>0.6</v>
      </c>
      <c r="Y58" s="129" t="str">
        <f>IFERROR(IF(X58="","",IF(X58&lt;=0.2,"Muy Baja",IF(X58&lt;=0.4,"Baja",IF(X58&lt;=0.6,"Media",IF(X58&lt;=0.8,"Alta","Muy Alta"))))),"")</f>
        <v>Media</v>
      </c>
      <c r="Z58" s="130">
        <f>+X58</f>
        <v>0.6</v>
      </c>
      <c r="AA58" s="129" t="str">
        <f>IFERROR(IF(AB58="","",IF(AB58&lt;=0.2,"Leve",IF(AB58&lt;=0.4,"Menor",IF(AB58&lt;=0.6,"Moderado",IF(AB58&lt;=0.8,"Mayor","Catastrófico"))))),"")</f>
        <v>Moderado</v>
      </c>
      <c r="AB58" s="130">
        <f>IFERROR(IF(Q58="Impacto",(M58-(+M58*T58)),IF(Q58="Probabilidad",M58,"")),"")</f>
        <v>0.52</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134</v>
      </c>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15">
      <c r="A59" s="196"/>
      <c r="B59" s="199"/>
      <c r="C59" s="199"/>
      <c r="D59" s="199"/>
      <c r="E59" s="202"/>
      <c r="F59" s="199"/>
      <c r="G59" s="205"/>
      <c r="H59" s="190"/>
      <c r="I59" s="187"/>
      <c r="J59" s="184"/>
      <c r="K59" s="187">
        <f>IF(NOT(ISERROR(MATCH(J59,_xlfn.ANCHORARRAY(#REF!),0))),#REF!&amp;"Por favor no seleccionar los criterios de impacto",J59)</f>
        <v>0</v>
      </c>
      <c r="L59" s="190"/>
      <c r="M59" s="187"/>
      <c r="N59" s="193"/>
      <c r="O59" s="123">
        <v>2</v>
      </c>
      <c r="P59" s="124" t="s">
        <v>250</v>
      </c>
      <c r="Q59" s="125" t="str">
        <f>IF(OR(R59="Preventivo",R59="Detectivo"),"Probabilidad",IF(R59="Correctivo","Impacto",""))</f>
        <v>Impacto</v>
      </c>
      <c r="R59" s="126" t="s">
        <v>14</v>
      </c>
      <c r="S59" s="126" t="s">
        <v>8</v>
      </c>
      <c r="T59" s="127" t="str">
        <f t="shared" ref="T59:T63" si="64">IF(AND(R59="Preventivo",S59="Automático"),"50%",IF(AND(R59="Preventivo",S59="Manual"),"40%",IF(AND(R59="Detectivo",S59="Automático"),"40%",IF(AND(R59="Detectivo",S59="Manual"),"30%",IF(AND(R59="Correctivo",S59="Automático"),"35%",IF(AND(R59="Correctivo",S59="Manual"),"25%",""))))))</f>
        <v>25%</v>
      </c>
      <c r="U59" s="126" t="s">
        <v>17</v>
      </c>
      <c r="V59" s="126" t="s">
        <v>20</v>
      </c>
      <c r="W59" s="126" t="s">
        <v>117</v>
      </c>
      <c r="X59" s="128">
        <f>IFERROR(IF(AND(Q58="Probabilidad",Q59="Probabilidad"),(Z58-(+Z58*T59)),IF(Q59="Probabilidad",(I58-(+I58*T59)),IF(Q59="Impacto",Z58,""))),"")</f>
        <v>0.6</v>
      </c>
      <c r="Y59" s="129" t="str">
        <f t="shared" si="1"/>
        <v>Media</v>
      </c>
      <c r="Z59" s="130">
        <f t="shared" ref="Z59:Z63" si="65">+X59</f>
        <v>0.6</v>
      </c>
      <c r="AA59" s="129" t="str">
        <f t="shared" si="3"/>
        <v>Menor</v>
      </c>
      <c r="AB59" s="130">
        <f>IFERROR(IF(AND(Q58="Impacto",Q59="Impacto"),(AB58-(+AB58*T59)),IF(Q59="Impacto",(M58-(+M58*T59)),IF(Q59="Probabilidad",AB58,""))),"")</f>
        <v>0.39</v>
      </c>
      <c r="AC59" s="131"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Moderado</v>
      </c>
      <c r="AD59" s="132" t="s">
        <v>134</v>
      </c>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15">
      <c r="A60" s="196"/>
      <c r="B60" s="199"/>
      <c r="C60" s="199"/>
      <c r="D60" s="199"/>
      <c r="E60" s="202"/>
      <c r="F60" s="199"/>
      <c r="G60" s="205"/>
      <c r="H60" s="190"/>
      <c r="I60" s="187"/>
      <c r="J60" s="184"/>
      <c r="K60" s="187">
        <f>IF(NOT(ISERROR(MATCH(J60,_xlfn.ANCHORARRAY(#REF!),0))),#REF!&amp;"Por favor no seleccionar los criterios de impacto",J60)</f>
        <v>0</v>
      </c>
      <c r="L60" s="190"/>
      <c r="M60" s="187"/>
      <c r="N60" s="193"/>
      <c r="O60" s="123">
        <v>3</v>
      </c>
      <c r="P60" s="136" t="s">
        <v>251</v>
      </c>
      <c r="Q60" s="125" t="str">
        <f>IF(OR(R60="Preventivo",R60="Detectivo"),"Probabilidad",IF(R60="Correctivo","Impacto",""))</f>
        <v>Impacto</v>
      </c>
      <c r="R60" s="126" t="s">
        <v>14</v>
      </c>
      <c r="S60" s="126" t="s">
        <v>8</v>
      </c>
      <c r="T60" s="127" t="str">
        <f>IF(AND(R60="Preventivo",S60="Automático"),"50%",IF(AND(R60="Preventivo",S60="Manual"),"40%",IF(AND(R60="Detectivo",S60="Automático"),"40%",IF(AND(R60="Detectivo",S60="Manual"),"30%",IF(AND(R60="Correctivo",S60="Automático"),"35%",IF(AND(R60="Correctivo",S60="Manual"),"25%",""))))))</f>
        <v>25%</v>
      </c>
      <c r="U60" s="126" t="s">
        <v>17</v>
      </c>
      <c r="V60" s="126" t="s">
        <v>20</v>
      </c>
      <c r="W60" s="126" t="s">
        <v>117</v>
      </c>
      <c r="X60" s="128">
        <f>IFERROR(IF(AND(Q59="Probabilidad",Q60="Probabilidad"),(Z59-(+Z59*T60)),IF(AND(Q59="Impacto",Q60="Probabilidad"),(Z58-(+Z58*T60)),IF(Q60="Impacto",Z59,""))),"")</f>
        <v>0.6</v>
      </c>
      <c r="Y60" s="129" t="str">
        <f t="shared" si="1"/>
        <v>Media</v>
      </c>
      <c r="Z60" s="130">
        <f t="shared" si="65"/>
        <v>0.6</v>
      </c>
      <c r="AA60" s="129" t="str">
        <f t="shared" si="3"/>
        <v>Menor</v>
      </c>
      <c r="AB60" s="130">
        <f>IFERROR(IF(AND(Q59="Impacto",Q60="Impacto"),(AB59-(+AB59*T60)),IF(AND(Q59="Probabilidad",Q60="Impacto"),(AB58-(+AB58*T60)),IF(Q60="Probabilidad",AB59,""))),"")</f>
        <v>0.29249999999999998</v>
      </c>
      <c r="AC60" s="131"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Moderado</v>
      </c>
      <c r="AD60" s="132" t="s">
        <v>134</v>
      </c>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15">
      <c r="A61" s="196"/>
      <c r="B61" s="199"/>
      <c r="C61" s="199"/>
      <c r="D61" s="199"/>
      <c r="E61" s="202"/>
      <c r="F61" s="199"/>
      <c r="G61" s="205"/>
      <c r="H61" s="190"/>
      <c r="I61" s="187"/>
      <c r="J61" s="184"/>
      <c r="K61" s="187">
        <f>IF(NOT(ISERROR(MATCH(J61,_xlfn.ANCHORARRAY(#REF!),0))),#REF!&amp;"Por favor no seleccionar los criterios de impacto",J61)</f>
        <v>0</v>
      </c>
      <c r="L61" s="190"/>
      <c r="M61" s="187"/>
      <c r="N61" s="193"/>
      <c r="O61" s="123">
        <v>4</v>
      </c>
      <c r="P61" s="124"/>
      <c r="Q61" s="125" t="str">
        <f t="shared" ref="Q61:Q63" si="66">IF(OR(R61="Preventivo",R61="Detectivo"),"Probabilidad",IF(R61="Correctivo","Impacto",""))</f>
        <v/>
      </c>
      <c r="R61" s="126"/>
      <c r="S61" s="126"/>
      <c r="T61" s="127" t="str">
        <f t="shared" si="64"/>
        <v/>
      </c>
      <c r="U61" s="126"/>
      <c r="V61" s="126"/>
      <c r="W61" s="126"/>
      <c r="X61" s="128" t="str">
        <f>IFERROR(IF(AND(Q60="Probabilidad",Q61="Probabilidad"),(Z60-(+Z60*T61)),IF(AND(Q60="Impacto",Q61="Probabilidad"),(Z59-(+Z59*T61)),IF(Q61="Impacto",Z60,""))),"")</f>
        <v/>
      </c>
      <c r="Y61" s="129" t="str">
        <f t="shared" si="1"/>
        <v/>
      </c>
      <c r="Z61" s="130" t="str">
        <f t="shared" si="65"/>
        <v/>
      </c>
      <c r="AA61" s="129" t="str">
        <f t="shared" si="3"/>
        <v/>
      </c>
      <c r="AB61" s="130" t="str">
        <f>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15">
      <c r="A62" s="196"/>
      <c r="B62" s="199"/>
      <c r="C62" s="199"/>
      <c r="D62" s="199"/>
      <c r="E62" s="202"/>
      <c r="F62" s="199"/>
      <c r="G62" s="205"/>
      <c r="H62" s="190"/>
      <c r="I62" s="187"/>
      <c r="J62" s="184"/>
      <c r="K62" s="187">
        <f>IF(NOT(ISERROR(MATCH(J62,_xlfn.ANCHORARRAY(#REF!),0))),#REF!&amp;"Por favor no seleccionar los criterios de impacto",J62)</f>
        <v>0</v>
      </c>
      <c r="L62" s="190"/>
      <c r="M62" s="187"/>
      <c r="N62" s="193"/>
      <c r="O62" s="123">
        <v>5</v>
      </c>
      <c r="P62" s="124"/>
      <c r="Q62" s="125" t="str">
        <f t="shared" si="66"/>
        <v/>
      </c>
      <c r="R62" s="126"/>
      <c r="S62" s="126"/>
      <c r="T62" s="127" t="str">
        <f t="shared" si="64"/>
        <v/>
      </c>
      <c r="U62" s="126"/>
      <c r="V62" s="126"/>
      <c r="W62" s="126"/>
      <c r="X62" s="128" t="str">
        <f t="shared" ref="X62:X63" si="67">IFERROR(IF(AND(Q61="Probabilidad",Q62="Probabilidad"),(Z61-(+Z61*T62)),IF(AND(Q61="Impacto",Q62="Probabilidad"),(Z60-(+Z60*T62)),IF(Q62="Impacto",Z61,""))),"")</f>
        <v/>
      </c>
      <c r="Y62" s="129" t="str">
        <f t="shared" si="1"/>
        <v/>
      </c>
      <c r="Z62" s="130" t="str">
        <f t="shared" si="65"/>
        <v/>
      </c>
      <c r="AA62" s="129" t="str">
        <f t="shared" si="3"/>
        <v/>
      </c>
      <c r="AB62" s="130" t="str">
        <f t="shared" ref="AB62:AB63" si="68">IFERROR(IF(AND(Q61="Impacto",Q62="Impacto"),(AB61-(+AB61*T62)),IF(AND(Q61="Probabilidad",Q62="Impacto"),(AB60-(+AB60*T62)),IF(Q62="Probabilidad",AB61,""))),"")</f>
        <v/>
      </c>
      <c r="AC62" s="131" t="str">
        <f t="shared" ref="AC62:AC63" si="6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15">
      <c r="A63" s="197"/>
      <c r="B63" s="200"/>
      <c r="C63" s="200"/>
      <c r="D63" s="200"/>
      <c r="E63" s="203"/>
      <c r="F63" s="200"/>
      <c r="G63" s="206"/>
      <c r="H63" s="191"/>
      <c r="I63" s="188"/>
      <c r="J63" s="185"/>
      <c r="K63" s="188">
        <f>IF(NOT(ISERROR(MATCH(J63,_xlfn.ANCHORARRAY(#REF!),0))),I221&amp;"Por favor no seleccionar los criterios de impacto",J63)</f>
        <v>0</v>
      </c>
      <c r="L63" s="191"/>
      <c r="M63" s="188"/>
      <c r="N63" s="194"/>
      <c r="O63" s="123">
        <v>6</v>
      </c>
      <c r="P63" s="124"/>
      <c r="Q63" s="125" t="str">
        <f t="shared" si="66"/>
        <v/>
      </c>
      <c r="R63" s="126"/>
      <c r="S63" s="126"/>
      <c r="T63" s="127" t="str">
        <f t="shared" si="64"/>
        <v/>
      </c>
      <c r="U63" s="126"/>
      <c r="V63" s="126"/>
      <c r="W63" s="126"/>
      <c r="X63" s="128" t="str">
        <f t="shared" si="67"/>
        <v/>
      </c>
      <c r="Y63" s="129" t="str">
        <f t="shared" si="1"/>
        <v/>
      </c>
      <c r="Z63" s="130" t="str">
        <f t="shared" si="65"/>
        <v/>
      </c>
      <c r="AA63" s="129" t="str">
        <f t="shared" si="3"/>
        <v/>
      </c>
      <c r="AB63" s="130" t="str">
        <f t="shared" si="68"/>
        <v/>
      </c>
      <c r="AC63" s="131" t="str">
        <f t="shared" si="69"/>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15">
      <c r="A64" s="195">
        <f t="shared" ref="A64" si="70">+A58+1</f>
        <v>10</v>
      </c>
      <c r="B64" s="198" t="s">
        <v>132</v>
      </c>
      <c r="C64" s="198" t="s">
        <v>248</v>
      </c>
      <c r="D64" s="198"/>
      <c r="E64" s="201" t="s">
        <v>252</v>
      </c>
      <c r="F64" s="198" t="s">
        <v>121</v>
      </c>
      <c r="G64" s="204">
        <v>30</v>
      </c>
      <c r="H64" s="189" t="str">
        <f>IF(G64&lt;=0,"",IF(G64&lt;=2,"Muy Baja",IF(G64&lt;=24,"Baja",IF(G64&lt;=500,"Media",IF(G64&lt;=5000,"Alta","Muy Alta")))))</f>
        <v>Media</v>
      </c>
      <c r="I64" s="186">
        <f>IF(H64="","",IF(H64="Muy Baja",0.2,IF(H64="Baja",0.4,IF(H64="Media",0.6,IF(H64="Alta",0.8,IF(H64="Muy Alta",1,))))))</f>
        <v>0.6</v>
      </c>
      <c r="J64" s="183" t="s">
        <v>150</v>
      </c>
      <c r="K64" s="186" t="str">
        <f>IF(NOT(ISERROR(MATCH(J64,'Tabla Impacto'!$B$221:$B$223,0))),'Tabla Impacto'!$F$223&amp;"Por favor no seleccionar los criterios de impacto(Afectación Económica o presupuestal y Pérdida Reputacional)",J64)</f>
        <v xml:space="preserve">     Mayor a 500 SMLMV </v>
      </c>
      <c r="L64" s="189" t="str">
        <f>IF(OR(K64='Tabla Impacto'!$C$11,K64='Tabla Impacto'!$D$11),"Leve",IF(OR(K64='Tabla Impacto'!$C$12,K64='Tabla Impacto'!$D$12),"Menor",IF(OR(K64='Tabla Impacto'!$C$13,K64='Tabla Impacto'!$D$13),"Moderado",IF(OR(K64='Tabla Impacto'!$C$14,K64='Tabla Impacto'!$D$14),"Mayor",IF(OR(K64='Tabla Impacto'!$C$15,K64='Tabla Impacto'!$D$15),"Catastrófico","")))))</f>
        <v>Catastrófico</v>
      </c>
      <c r="M64" s="186">
        <f>IF(L64="","",IF(L64="Leve",0.2,IF(L64="Menor",0.4,IF(L64="Moderado",0.6,IF(L64="Mayor",0.8,IF(L64="Catastrófico",1,))))))</f>
        <v>1</v>
      </c>
      <c r="N64" s="192"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Extremo</v>
      </c>
      <c r="O64" s="123">
        <v>1</v>
      </c>
      <c r="P64" s="124" t="s">
        <v>253</v>
      </c>
      <c r="Q64" s="125" t="str">
        <f>IF(OR(R64="Preventivo",R64="Detectivo"),"Probabilidad",IF(R64="Correctivo","Impacto",""))</f>
        <v>Impacto</v>
      </c>
      <c r="R64" s="126" t="s">
        <v>14</v>
      </c>
      <c r="S64" s="126" t="s">
        <v>9</v>
      </c>
      <c r="T64" s="127" t="str">
        <f>IF(AND(R64="Preventivo",S64="Automático"),"50%",IF(AND(R64="Preventivo",S64="Manual"),"40%",IF(AND(R64="Detectivo",S64="Automático"),"40%",IF(AND(R64="Detectivo",S64="Manual"),"30%",IF(AND(R64="Correctivo",S64="Automático"),"35%",IF(AND(R64="Correctivo",S64="Manual"),"25%",""))))))</f>
        <v>35%</v>
      </c>
      <c r="U64" s="126" t="s">
        <v>17</v>
      </c>
      <c r="V64" s="126" t="s">
        <v>20</v>
      </c>
      <c r="W64" s="126" t="s">
        <v>117</v>
      </c>
      <c r="X64" s="128">
        <f>IFERROR(IF(Q64="Probabilidad",(I64-(+I64*T64)),IF(Q64="Impacto",I64,"")),"")</f>
        <v>0.6</v>
      </c>
      <c r="Y64" s="129" t="str">
        <f>IFERROR(IF(X64="","",IF(X64&lt;=0.2,"Muy Baja",IF(X64&lt;=0.4,"Baja",IF(X64&lt;=0.6,"Media",IF(X64&lt;=0.8,"Alta","Muy Alta"))))),"")</f>
        <v>Media</v>
      </c>
      <c r="Z64" s="130">
        <f>+X64</f>
        <v>0.6</v>
      </c>
      <c r="AA64" s="129" t="str">
        <f>IFERROR(IF(AB64="","",IF(AB64&lt;=0.2,"Leve",IF(AB64&lt;=0.4,"Menor",IF(AB64&lt;=0.6,"Moderado",IF(AB64&lt;=0.8,"Mayor","Catastrófico"))))),"")</f>
        <v>Mayor</v>
      </c>
      <c r="AB64" s="130">
        <f>IFERROR(IF(Q64="Impacto",(M64-(+M64*T64)),IF(Q64="Probabilidad",M64,"")),"")</f>
        <v>0.65</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Alto</v>
      </c>
      <c r="AD64" s="132" t="s">
        <v>134</v>
      </c>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68" ht="151.5" customHeight="1" x14ac:dyDescent="0.15">
      <c r="A65" s="196"/>
      <c r="B65" s="199"/>
      <c r="C65" s="199"/>
      <c r="D65" s="199"/>
      <c r="E65" s="202"/>
      <c r="F65" s="199"/>
      <c r="G65" s="205"/>
      <c r="H65" s="190"/>
      <c r="I65" s="187"/>
      <c r="J65" s="184"/>
      <c r="K65" s="187">
        <f>IF(NOT(ISERROR(MATCH(J65,_xlfn.ANCHORARRAY(E221),0))),I223&amp;"Por favor no seleccionar los criterios de impacto",J65)</f>
        <v>0</v>
      </c>
      <c r="L65" s="190"/>
      <c r="M65" s="187"/>
      <c r="N65" s="193"/>
      <c r="O65" s="123">
        <v>2</v>
      </c>
      <c r="P65" s="124" t="s">
        <v>254</v>
      </c>
      <c r="Q65" s="125" t="str">
        <f>IF(OR(R65="Preventivo",R65="Detectivo"),"Probabilidad",IF(R65="Correctivo","Impacto",""))</f>
        <v>Impacto</v>
      </c>
      <c r="R65" s="126" t="s">
        <v>14</v>
      </c>
      <c r="S65" s="126" t="s">
        <v>9</v>
      </c>
      <c r="T65" s="127" t="str">
        <f t="shared" ref="T65:T69" si="71">IF(AND(R65="Preventivo",S65="Automático"),"50%",IF(AND(R65="Preventivo",S65="Manual"),"40%",IF(AND(R65="Detectivo",S65="Automático"),"40%",IF(AND(R65="Detectivo",S65="Manual"),"30%",IF(AND(R65="Correctivo",S65="Automático"),"35%",IF(AND(R65="Correctivo",S65="Manual"),"25%",""))))))</f>
        <v>35%</v>
      </c>
      <c r="U65" s="126" t="s">
        <v>17</v>
      </c>
      <c r="V65" s="126" t="s">
        <v>20</v>
      </c>
      <c r="W65" s="126" t="s">
        <v>117</v>
      </c>
      <c r="X65" s="128">
        <f>IFERROR(IF(AND(Q64="Probabilidad",Q65="Probabilidad"),(Z64-(+Z64*T65)),IF(Q65="Probabilidad",(I64-(+I64*T65)),IF(Q65="Impacto",Z64,""))),"")</f>
        <v>0.6</v>
      </c>
      <c r="Y65" s="129" t="str">
        <f t="shared" si="1"/>
        <v>Media</v>
      </c>
      <c r="Z65" s="130">
        <f t="shared" ref="Z65:Z69" si="72">+X65</f>
        <v>0.6</v>
      </c>
      <c r="AA65" s="129" t="str">
        <f t="shared" si="3"/>
        <v>Moderado</v>
      </c>
      <c r="AB65" s="130">
        <f>IFERROR(IF(AND(Q64="Impacto",Q65="Impacto"),(AB64-(+AB64*T65)),IF(Q65="Impacto",(M64-(+M64*T65)),IF(Q65="Probabilidad",AB64,""))),"")</f>
        <v>0.42250000000000004</v>
      </c>
      <c r="AC65" s="131"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Moderado</v>
      </c>
      <c r="AD65" s="132" t="s">
        <v>134</v>
      </c>
      <c r="AE65" s="133"/>
      <c r="AF65" s="134"/>
      <c r="AG65" s="135"/>
      <c r="AH65" s="135"/>
      <c r="AI65" s="133"/>
      <c r="AJ65" s="134"/>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row>
    <row r="66" spans="1:68" ht="151.5" customHeight="1" x14ac:dyDescent="0.15">
      <c r="A66" s="196"/>
      <c r="B66" s="199"/>
      <c r="C66" s="199"/>
      <c r="D66" s="199"/>
      <c r="E66" s="202"/>
      <c r="F66" s="199"/>
      <c r="G66" s="205"/>
      <c r="H66" s="190"/>
      <c r="I66" s="187"/>
      <c r="J66" s="184"/>
      <c r="K66" s="187">
        <f>IF(NOT(ISERROR(MATCH(J66,_xlfn.ANCHORARRAY(E222),0))),I224&amp;"Por favor no seleccionar los criterios de impacto",J66)</f>
        <v>0</v>
      </c>
      <c r="L66" s="190"/>
      <c r="M66" s="187"/>
      <c r="N66" s="193"/>
      <c r="O66" s="123">
        <v>3</v>
      </c>
      <c r="P66" s="136"/>
      <c r="Q66" s="125" t="str">
        <f>IF(OR(R66="Preventivo",R66="Detectivo"),"Probabilidad",IF(R66="Correctivo","Impacto",""))</f>
        <v/>
      </c>
      <c r="R66" s="126"/>
      <c r="S66" s="126"/>
      <c r="T66" s="127" t="str">
        <f t="shared" si="71"/>
        <v/>
      </c>
      <c r="U66" s="126"/>
      <c r="V66" s="126"/>
      <c r="W66" s="126"/>
      <c r="X66" s="128" t="str">
        <f>IFERROR(IF(AND(Q65="Probabilidad",Q66="Probabilidad"),(Z65-(+Z65*T66)),IF(AND(Q65="Impacto",Q66="Probabilidad"),(Z64-(+Z64*T66)),IF(Q66="Impacto",Z65,""))),"")</f>
        <v/>
      </c>
      <c r="Y66" s="129" t="str">
        <f t="shared" si="1"/>
        <v/>
      </c>
      <c r="Z66" s="130" t="str">
        <f t="shared" si="72"/>
        <v/>
      </c>
      <c r="AA66" s="129" t="str">
        <f t="shared" si="3"/>
        <v/>
      </c>
      <c r="AB66" s="130" t="str">
        <f>IFERROR(IF(AND(Q65="Impacto",Q66="Impacto"),(AB65-(+AB65*T66)),IF(AND(Q65="Probabilidad",Q66="Impacto"),(AB64-(+AB64*T66)),IF(Q66="Probabilidad",AB65,""))),"")</f>
        <v/>
      </c>
      <c r="AC66" s="131"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32"/>
      <c r="AE66" s="133"/>
      <c r="AF66" s="134"/>
      <c r="AG66" s="135"/>
      <c r="AH66" s="135"/>
      <c r="AI66" s="133"/>
      <c r="AJ66" s="134"/>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row>
    <row r="67" spans="1:68" ht="151.5" customHeight="1" x14ac:dyDescent="0.15">
      <c r="A67" s="196"/>
      <c r="B67" s="199"/>
      <c r="C67" s="199"/>
      <c r="D67" s="199"/>
      <c r="E67" s="202"/>
      <c r="F67" s="199"/>
      <c r="G67" s="205"/>
      <c r="H67" s="190"/>
      <c r="I67" s="187"/>
      <c r="J67" s="184"/>
      <c r="K67" s="187">
        <f>IF(NOT(ISERROR(MATCH(J67,_xlfn.ANCHORARRAY(E223),0))),I225&amp;"Por favor no seleccionar los criterios de impacto",J67)</f>
        <v>0</v>
      </c>
      <c r="L67" s="190"/>
      <c r="M67" s="187"/>
      <c r="N67" s="193"/>
      <c r="O67" s="123">
        <v>4</v>
      </c>
      <c r="P67" s="124"/>
      <c r="Q67" s="125" t="str">
        <f t="shared" ref="Q67:Q69" si="73">IF(OR(R67="Preventivo",R67="Detectivo"),"Probabilidad",IF(R67="Correctivo","Impacto",""))</f>
        <v/>
      </c>
      <c r="R67" s="126"/>
      <c r="S67" s="126"/>
      <c r="T67" s="127" t="str">
        <f t="shared" si="71"/>
        <v/>
      </c>
      <c r="U67" s="126"/>
      <c r="V67" s="126"/>
      <c r="W67" s="126"/>
      <c r="X67" s="128" t="str">
        <f t="shared" ref="X67:X69" si="74">IFERROR(IF(AND(Q66="Probabilidad",Q67="Probabilidad"),(Z66-(+Z66*T67)),IF(AND(Q66="Impacto",Q67="Probabilidad"),(Z65-(+Z65*T67)),IF(Q67="Impacto",Z66,""))),"")</f>
        <v/>
      </c>
      <c r="Y67" s="129" t="str">
        <f t="shared" si="1"/>
        <v/>
      </c>
      <c r="Z67" s="130" t="str">
        <f t="shared" si="72"/>
        <v/>
      </c>
      <c r="AA67" s="129" t="str">
        <f t="shared" si="3"/>
        <v/>
      </c>
      <c r="AB67" s="130" t="str">
        <f t="shared" ref="AB67:AB69" si="75">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row>
    <row r="68" spans="1:68" ht="151.5" customHeight="1" x14ac:dyDescent="0.15">
      <c r="A68" s="196"/>
      <c r="B68" s="199"/>
      <c r="C68" s="199"/>
      <c r="D68" s="199"/>
      <c r="E68" s="202"/>
      <c r="F68" s="199"/>
      <c r="G68" s="205"/>
      <c r="H68" s="190"/>
      <c r="I68" s="187"/>
      <c r="J68" s="184"/>
      <c r="K68" s="187">
        <f>IF(NOT(ISERROR(MATCH(J68,_xlfn.ANCHORARRAY(E224),0))),I226&amp;"Por favor no seleccionar los criterios de impacto",J68)</f>
        <v>0</v>
      </c>
      <c r="L68" s="190"/>
      <c r="M68" s="187"/>
      <c r="N68" s="193"/>
      <c r="O68" s="123">
        <v>5</v>
      </c>
      <c r="P68" s="124"/>
      <c r="Q68" s="125" t="str">
        <f t="shared" si="73"/>
        <v/>
      </c>
      <c r="R68" s="126"/>
      <c r="S68" s="126"/>
      <c r="T68" s="127" t="str">
        <f t="shared" si="71"/>
        <v/>
      </c>
      <c r="U68" s="126"/>
      <c r="V68" s="126"/>
      <c r="W68" s="126"/>
      <c r="X68" s="128" t="str">
        <f t="shared" si="74"/>
        <v/>
      </c>
      <c r="Y68" s="129" t="str">
        <f t="shared" si="1"/>
        <v/>
      </c>
      <c r="Z68" s="130" t="str">
        <f t="shared" si="72"/>
        <v/>
      </c>
      <c r="AA68" s="129" t="str">
        <f t="shared" si="3"/>
        <v/>
      </c>
      <c r="AB68" s="130" t="str">
        <f t="shared" si="75"/>
        <v/>
      </c>
      <c r="AC68" s="131" t="str">
        <f t="shared" ref="AC68:AC69" si="76">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row>
    <row r="69" spans="1:68" ht="151.5" customHeight="1" x14ac:dyDescent="0.15">
      <c r="A69" s="197"/>
      <c r="B69" s="200"/>
      <c r="C69" s="200"/>
      <c r="D69" s="200"/>
      <c r="E69" s="203"/>
      <c r="F69" s="200"/>
      <c r="G69" s="206"/>
      <c r="H69" s="191"/>
      <c r="I69" s="188"/>
      <c r="J69" s="185"/>
      <c r="K69" s="188">
        <f>IF(NOT(ISERROR(MATCH(J69,_xlfn.ANCHORARRAY(E225),0))),I227&amp;"Por favor no seleccionar los criterios de impacto",J69)</f>
        <v>0</v>
      </c>
      <c r="L69" s="191"/>
      <c r="M69" s="188"/>
      <c r="N69" s="194"/>
      <c r="O69" s="123">
        <v>6</v>
      </c>
      <c r="P69" s="124"/>
      <c r="Q69" s="125" t="str">
        <f t="shared" si="73"/>
        <v/>
      </c>
      <c r="R69" s="126"/>
      <c r="S69" s="126"/>
      <c r="T69" s="127" t="str">
        <f t="shared" si="71"/>
        <v/>
      </c>
      <c r="U69" s="126"/>
      <c r="V69" s="126"/>
      <c r="W69" s="126"/>
      <c r="X69" s="128" t="str">
        <f t="shared" si="74"/>
        <v/>
      </c>
      <c r="Y69" s="129" t="str">
        <f t="shared" si="1"/>
        <v/>
      </c>
      <c r="Z69" s="130" t="str">
        <f t="shared" si="72"/>
        <v/>
      </c>
      <c r="AA69" s="129" t="str">
        <f t="shared" si="3"/>
        <v/>
      </c>
      <c r="AB69" s="130" t="str">
        <f t="shared" si="75"/>
        <v/>
      </c>
      <c r="AC69" s="131" t="str">
        <f t="shared" si="76"/>
        <v/>
      </c>
      <c r="AD69" s="132"/>
      <c r="AE69" s="133"/>
      <c r="AF69" s="134"/>
      <c r="AG69" s="135"/>
      <c r="AH69" s="135"/>
      <c r="AI69" s="133"/>
      <c r="AJ69" s="134"/>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row>
    <row r="70" spans="1:68" ht="255.75" customHeight="1" x14ac:dyDescent="0.15">
      <c r="A70" s="195">
        <f t="shared" ref="A70" si="77">+A64+1</f>
        <v>11</v>
      </c>
      <c r="B70" s="198" t="s">
        <v>131</v>
      </c>
      <c r="C70" s="198" t="s">
        <v>256</v>
      </c>
      <c r="D70" s="198"/>
      <c r="E70" s="201" t="s">
        <v>255</v>
      </c>
      <c r="F70" s="198" t="s">
        <v>121</v>
      </c>
      <c r="G70" s="204">
        <v>6000</v>
      </c>
      <c r="H70" s="189" t="str">
        <f>IF(G70&lt;=0,"",IF(G70&lt;=2,"Muy Baja",IF(G70&lt;=24,"Baja",IF(G70&lt;=500,"Media",IF(G70&lt;=5000,"Alta","Muy Alta")))))</f>
        <v>Muy Alta</v>
      </c>
      <c r="I70" s="186">
        <f>IF(H70="","",IF(H70="Muy Baja",0.2,IF(H70="Baja",0.4,IF(H70="Media",0.6,IF(H70="Alta",0.8,IF(H70="Muy Alta",1,))))))</f>
        <v>1</v>
      </c>
      <c r="J70" s="183" t="s">
        <v>147</v>
      </c>
      <c r="K70" s="186" t="str">
        <f>IF(NOT(ISERROR(MATCH(J70,'Tabla Impacto'!$B$221:$B$223,0))),'Tabla Impacto'!$F$223&amp;"Por favor no seleccionar los criterios de impacto(Afectación Económica o presupuestal y Pérdida Reputacional)",J70)</f>
        <v xml:space="preserve">     Entre 50 y 100 SMLMV </v>
      </c>
      <c r="L70" s="189" t="str">
        <f>IF(OR(K70='Tabla Impacto'!$C$11,K70='Tabla Impacto'!$D$11),"Leve",IF(OR(K70='Tabla Impacto'!$C$12,K70='Tabla Impacto'!$D$12),"Menor",IF(OR(K70='Tabla Impacto'!$C$13,K70='Tabla Impacto'!$D$13),"Moderado",IF(OR(K70='Tabla Impacto'!$C$14,K70='Tabla Impacto'!$D$14),"Mayor",IF(OR(K70='Tabla Impacto'!$C$15,K70='Tabla Impacto'!$D$15),"Catastrófico","")))))</f>
        <v>Moderado</v>
      </c>
      <c r="M70" s="186">
        <f>IF(L70="","",IF(L70="Leve",0.2,IF(L70="Menor",0.4,IF(L70="Moderado",0.6,IF(L70="Mayor",0.8,IF(L70="Catastrófico",1,))))))</f>
        <v>0.6</v>
      </c>
      <c r="N70" s="192" t="str">
        <f>IF(OR(AND(H70="Muy Baja",L70="Leve"),AND(H70="Muy Baja",L70="Menor"),AND(H70="Baja",L70="Leve")),"Bajo",IF(OR(AND(H70="Muy baja",L70="Moderado"),AND(H70="Baja",L70="Menor"),AND(H70="Baja",L70="Moderado"),AND(H70="Media",L70="Leve"),AND(H70="Media",L70="Menor"),AND(H70="Media",L70="Moderado"),AND(H70="Alta",L70="Leve"),AND(H70="Alta",L70="Menor")),"Moderado",IF(OR(AND(H70="Muy Baja",L70="Mayor"),AND(H70="Baja",L70="Mayor"),AND(H70="Media",L70="Mayor"),AND(H70="Alta",L70="Moderado"),AND(H70="Alta",L70="Mayor"),AND(H70="Muy Alta",L70="Leve"),AND(H70="Muy Alta",L70="Menor"),AND(H70="Muy Alta",L70="Moderado"),AND(H70="Muy Alta",L70="Mayor")),"Alto",IF(OR(AND(H70="Muy Baja",L70="Catastrófico"),AND(H70="Baja",L70="Catastrófico"),AND(H70="Media",L70="Catastrófico"),AND(H70="Alta",L70="Catastrófico"),AND(H70="Muy Alta",L70="Catastrófico")),"Extremo",""))))</f>
        <v>Alto</v>
      </c>
      <c r="O70" s="123">
        <v>1</v>
      </c>
      <c r="P70" s="124" t="s">
        <v>250</v>
      </c>
      <c r="Q70" s="125" t="str">
        <f>IF(OR(R70="Preventivo",R70="Detectivo"),"Probabilidad",IF(R70="Correctivo","Impacto",""))</f>
        <v>Probabilidad</v>
      </c>
      <c r="R70" s="126" t="s">
        <v>12</v>
      </c>
      <c r="S70" s="126" t="s">
        <v>9</v>
      </c>
      <c r="T70" s="127" t="str">
        <f>IF(AND(R70="Preventivo",S70="Automático"),"70%",IF(AND(R70="Preventivo",S70="Manual"),"40%",IF(AND(R70="Detectivo",S70="Automático"),"40%",IF(AND(R70="Detectivo",S70="Manual"),"30%",IF(AND(R70="Correctivo",S70="Automático"),"35%",IF(AND(R70="Correctivo",S70="Manual"),"25%",""))))))</f>
        <v>70%</v>
      </c>
      <c r="U70" s="126" t="s">
        <v>17</v>
      </c>
      <c r="V70" s="126" t="s">
        <v>20</v>
      </c>
      <c r="W70" s="126" t="s">
        <v>117</v>
      </c>
      <c r="X70" s="128">
        <f>IFERROR(IF(Q70="Probabilidad",(I70-(+I70*T70)),IF(Q70="Impacto",I70,"")),"")</f>
        <v>0.30000000000000004</v>
      </c>
      <c r="Y70" s="129" t="str">
        <f>IFERROR(IF(X70="","",IF(X70&lt;=0.2,"Muy Baja",IF(X70&lt;=0.4,"Baja",IF(X70&lt;=0.6,"Media",IF(X70&lt;=0.8,"Alta","Muy Alta"))))),"")</f>
        <v>Baja</v>
      </c>
      <c r="Z70" s="130">
        <f>+X70</f>
        <v>0.30000000000000004</v>
      </c>
      <c r="AA70" s="129" t="str">
        <f>IFERROR(IF(AB70="","",IF(AB70&lt;=0.2,"Leve",IF(AB70&lt;=0.4,"Menor",IF(AB70&lt;=0.6,"Moderado",IF(AB70&lt;=0.8,"Mayor","Catastrófico"))))),"")</f>
        <v>Moderado</v>
      </c>
      <c r="AB70" s="130">
        <f>IFERROR(IF(Q70="Impacto",(M70-(+M70*T70)),IF(Q70="Probabilidad",M70,"")),"")</f>
        <v>0.6</v>
      </c>
      <c r="AC70" s="131"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Moderado</v>
      </c>
      <c r="AD70" s="132" t="s">
        <v>134</v>
      </c>
      <c r="AE70" s="133"/>
      <c r="AF70" s="134"/>
      <c r="AG70" s="135"/>
      <c r="AH70" s="135"/>
      <c r="AI70" s="133"/>
      <c r="AJ70" s="134"/>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row>
    <row r="71" spans="1:68" ht="151.5" customHeight="1" x14ac:dyDescent="0.15">
      <c r="A71" s="196"/>
      <c r="B71" s="199"/>
      <c r="C71" s="199"/>
      <c r="D71" s="199"/>
      <c r="E71" s="202"/>
      <c r="F71" s="199"/>
      <c r="G71" s="205"/>
      <c r="H71" s="190"/>
      <c r="I71" s="187"/>
      <c r="J71" s="184"/>
      <c r="K71" s="187">
        <f>IF(NOT(ISERROR(MATCH(J71,_xlfn.ANCHORARRAY(E227),0))),I229&amp;"Por favor no seleccionar los criterios de impacto",J71)</f>
        <v>0</v>
      </c>
      <c r="L71" s="190"/>
      <c r="M71" s="187"/>
      <c r="N71" s="193"/>
      <c r="O71" s="123">
        <v>2</v>
      </c>
      <c r="P71" s="124"/>
      <c r="Q71" s="125" t="str">
        <f>IF(OR(R71="Preventivo",R71="Detectivo"),"Probabilidad",IF(R71="Correctivo","Impacto",""))</f>
        <v/>
      </c>
      <c r="R71" s="126"/>
      <c r="S71" s="126"/>
      <c r="T71" s="127" t="str">
        <f t="shared" ref="T71:T75" si="78">IF(AND(R71="Preventivo",S71="Automático"),"50%",IF(AND(R71="Preventivo",S71="Manual"),"40%",IF(AND(R71="Detectivo",S71="Automático"),"40%",IF(AND(R71="Detectivo",S71="Manual"),"30%",IF(AND(R71="Correctivo",S71="Automático"),"35%",IF(AND(R71="Correctivo",S71="Manual"),"25%",""))))))</f>
        <v/>
      </c>
      <c r="U71" s="126"/>
      <c r="V71" s="126"/>
      <c r="W71" s="126"/>
      <c r="X71" s="128" t="str">
        <f>IFERROR(IF(AND(Q70="Probabilidad",Q71="Probabilidad"),(Z70-(+Z70*T71)),IF(Q71="Probabilidad",(I70-(+I70*T71)),IF(Q71="Impacto",Z70,""))),"")</f>
        <v/>
      </c>
      <c r="Y71" s="129" t="str">
        <f t="shared" ref="Y71:Y75" si="79">IFERROR(IF(X71="","",IF(X71&lt;=0.2,"Muy Baja",IF(X71&lt;=0.4,"Baja",IF(X71&lt;=0.6,"Media",IF(X71&lt;=0.8,"Alta","Muy Alta"))))),"")</f>
        <v/>
      </c>
      <c r="Z71" s="130" t="str">
        <f t="shared" ref="Z71:Z75" si="80">+X71</f>
        <v/>
      </c>
      <c r="AA71" s="129" t="str">
        <f t="shared" ref="AA71:AA75" si="81">IFERROR(IF(AB71="","",IF(AB71&lt;=0.2,"Leve",IF(AB71&lt;=0.4,"Menor",IF(AB71&lt;=0.6,"Moderado",IF(AB71&lt;=0.8,"Mayor","Catastrófico"))))),"")</f>
        <v/>
      </c>
      <c r="AB71" s="130" t="str">
        <f>IFERROR(IF(AND(Q70="Impacto",Q71="Impacto"),(AB70-(+AB70*T71)),IF(Q71="Impacto",(M70-(+M70*T71)),IF(Q71="Probabilidad",AB70,""))),"")</f>
        <v/>
      </c>
      <c r="AC71" s="131"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32"/>
      <c r="AE71" s="133"/>
      <c r="AF71" s="134"/>
      <c r="AG71" s="135"/>
      <c r="AH71" s="135"/>
      <c r="AI71" s="133"/>
      <c r="AJ71" s="134"/>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row>
    <row r="72" spans="1:68" ht="151.5" customHeight="1" x14ac:dyDescent="0.15">
      <c r="A72" s="196"/>
      <c r="B72" s="199"/>
      <c r="C72" s="199"/>
      <c r="D72" s="199"/>
      <c r="E72" s="202"/>
      <c r="F72" s="199"/>
      <c r="G72" s="205"/>
      <c r="H72" s="190"/>
      <c r="I72" s="187"/>
      <c r="J72" s="184"/>
      <c r="K72" s="187">
        <f>IF(NOT(ISERROR(MATCH(J72,_xlfn.ANCHORARRAY(E228),0))),I230&amp;"Por favor no seleccionar los criterios de impacto",J72)</f>
        <v>0</v>
      </c>
      <c r="L72" s="190"/>
      <c r="M72" s="187"/>
      <c r="N72" s="193"/>
      <c r="O72" s="123">
        <v>3</v>
      </c>
      <c r="P72" s="136"/>
      <c r="Q72" s="125" t="str">
        <f>IF(OR(R72="Preventivo",R72="Detectivo"),"Probabilidad",IF(R72="Correctivo","Impacto",""))</f>
        <v/>
      </c>
      <c r="R72" s="126"/>
      <c r="S72" s="126"/>
      <c r="T72" s="127" t="str">
        <f t="shared" si="78"/>
        <v/>
      </c>
      <c r="U72" s="126"/>
      <c r="V72" s="126"/>
      <c r="W72" s="126"/>
      <c r="X72" s="128" t="str">
        <f>IFERROR(IF(AND(Q71="Probabilidad",Q72="Probabilidad"),(Z71-(+Z71*T72)),IF(AND(Q71="Impacto",Q72="Probabilidad"),(Z70-(+Z70*T72)),IF(Q72="Impacto",Z71,""))),"")</f>
        <v/>
      </c>
      <c r="Y72" s="129" t="str">
        <f t="shared" si="79"/>
        <v/>
      </c>
      <c r="Z72" s="130" t="str">
        <f t="shared" si="80"/>
        <v/>
      </c>
      <c r="AA72" s="129" t="str">
        <f>IFERROR(IF(AB72="","",IF(AB72&lt;=0.2,"Leve",IF(AB72&lt;=0.4,"Menor",IF(AB72&lt;=0.6,"Moderado",IF(AB72&lt;=0.8,"Mayor","Catastrófico"))))),"")</f>
        <v/>
      </c>
      <c r="AB72" s="130" t="str">
        <f>IFERROR(IF(AND(Q71="Impacto",Q72="Impacto"),(AB71-(+AB71*T72)),IF(AND(Q71="Probabilidad",Q72="Impacto"),(AB70-(+AB70*T72)),IF(Q72="Probabilidad",AB71,""))),"")</f>
        <v/>
      </c>
      <c r="AC72" s="131"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32"/>
      <c r="AE72" s="133"/>
      <c r="AF72" s="134"/>
      <c r="AG72" s="135"/>
      <c r="AH72" s="135"/>
      <c r="AI72" s="133"/>
      <c r="AJ72" s="134"/>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row>
    <row r="73" spans="1:68" ht="151.5" customHeight="1" x14ac:dyDescent="0.15">
      <c r="A73" s="196"/>
      <c r="B73" s="199"/>
      <c r="C73" s="199"/>
      <c r="D73" s="199"/>
      <c r="E73" s="202"/>
      <c r="F73" s="199"/>
      <c r="G73" s="205"/>
      <c r="H73" s="190"/>
      <c r="I73" s="187"/>
      <c r="J73" s="184"/>
      <c r="K73" s="187">
        <f>IF(NOT(ISERROR(MATCH(J73,_xlfn.ANCHORARRAY(E229),0))),I231&amp;"Por favor no seleccionar los criterios de impacto",J73)</f>
        <v>0</v>
      </c>
      <c r="L73" s="190"/>
      <c r="M73" s="187"/>
      <c r="N73" s="193"/>
      <c r="O73" s="123">
        <v>4</v>
      </c>
      <c r="P73" s="124"/>
      <c r="Q73" s="125" t="str">
        <f t="shared" ref="Q73:Q75" si="82">IF(OR(R73="Preventivo",R73="Detectivo"),"Probabilidad",IF(R73="Correctivo","Impacto",""))</f>
        <v/>
      </c>
      <c r="R73" s="126"/>
      <c r="S73" s="126"/>
      <c r="T73" s="127" t="str">
        <f t="shared" si="78"/>
        <v/>
      </c>
      <c r="U73" s="126"/>
      <c r="V73" s="126"/>
      <c r="W73" s="126"/>
      <c r="X73" s="128" t="str">
        <f t="shared" ref="X73:X75" si="83">IFERROR(IF(AND(Q72="Probabilidad",Q73="Probabilidad"),(Z72-(+Z72*T73)),IF(AND(Q72="Impacto",Q73="Probabilidad"),(Z71-(+Z71*T73)),IF(Q73="Impacto",Z72,""))),"")</f>
        <v/>
      </c>
      <c r="Y73" s="129" t="str">
        <f t="shared" si="79"/>
        <v/>
      </c>
      <c r="Z73" s="130" t="str">
        <f t="shared" si="80"/>
        <v/>
      </c>
      <c r="AA73" s="129" t="str">
        <f t="shared" si="81"/>
        <v/>
      </c>
      <c r="AB73" s="130" t="str">
        <f t="shared" ref="AB73:AB75" si="84">IFERROR(IF(AND(Q72="Impacto",Q73="Impacto"),(AB72-(+AB72*T73)),IF(AND(Q72="Probabilidad",Q73="Impacto"),(AB71-(+AB71*T73)),IF(Q73="Probabilidad",AB72,""))),"")</f>
        <v/>
      </c>
      <c r="AC73" s="131" t="str">
        <f>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32"/>
      <c r="AE73" s="133"/>
      <c r="AF73" s="134"/>
      <c r="AG73" s="135"/>
      <c r="AH73" s="135"/>
      <c r="AI73" s="133"/>
      <c r="AJ73" s="134"/>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row>
    <row r="74" spans="1:68" ht="151.5" customHeight="1" x14ac:dyDescent="0.15">
      <c r="A74" s="196"/>
      <c r="B74" s="199"/>
      <c r="C74" s="199"/>
      <c r="D74" s="199"/>
      <c r="E74" s="202"/>
      <c r="F74" s="199"/>
      <c r="G74" s="205"/>
      <c r="H74" s="190"/>
      <c r="I74" s="187"/>
      <c r="J74" s="184"/>
      <c r="K74" s="187">
        <f>IF(NOT(ISERROR(MATCH(J74,_xlfn.ANCHORARRAY(E230),0))),I232&amp;"Por favor no seleccionar los criterios de impacto",J74)</f>
        <v>0</v>
      </c>
      <c r="L74" s="190"/>
      <c r="M74" s="187"/>
      <c r="N74" s="193"/>
      <c r="O74" s="123">
        <v>5</v>
      </c>
      <c r="P74" s="124"/>
      <c r="Q74" s="125" t="str">
        <f t="shared" si="82"/>
        <v/>
      </c>
      <c r="R74" s="126"/>
      <c r="S74" s="126"/>
      <c r="T74" s="127" t="str">
        <f t="shared" si="78"/>
        <v/>
      </c>
      <c r="U74" s="126"/>
      <c r="V74" s="126"/>
      <c r="W74" s="126"/>
      <c r="X74" s="128" t="str">
        <f t="shared" si="83"/>
        <v/>
      </c>
      <c r="Y74" s="129" t="str">
        <f t="shared" si="79"/>
        <v/>
      </c>
      <c r="Z74" s="130" t="str">
        <f t="shared" si="80"/>
        <v/>
      </c>
      <c r="AA74" s="129" t="str">
        <f t="shared" si="81"/>
        <v/>
      </c>
      <c r="AB74" s="130" t="str">
        <f t="shared" si="84"/>
        <v/>
      </c>
      <c r="AC74" s="131" t="str">
        <f t="shared" ref="AC74:AC75" si="85">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32"/>
      <c r="AE74" s="133"/>
      <c r="AF74" s="134"/>
      <c r="AG74" s="135"/>
      <c r="AH74" s="135"/>
      <c r="AI74" s="133"/>
      <c r="AJ74" s="134"/>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row>
    <row r="75" spans="1:68" ht="151.5" customHeight="1" x14ac:dyDescent="0.15">
      <c r="A75" s="197"/>
      <c r="B75" s="200"/>
      <c r="C75" s="200"/>
      <c r="D75" s="200"/>
      <c r="E75" s="203"/>
      <c r="F75" s="200"/>
      <c r="G75" s="206"/>
      <c r="H75" s="191"/>
      <c r="I75" s="188"/>
      <c r="J75" s="185"/>
      <c r="K75" s="188">
        <f>IF(NOT(ISERROR(MATCH(J75,_xlfn.ANCHORARRAY(E231),0))),I233&amp;"Por favor no seleccionar los criterios de impacto",J75)</f>
        <v>0</v>
      </c>
      <c r="L75" s="191"/>
      <c r="M75" s="188"/>
      <c r="N75" s="194"/>
      <c r="O75" s="123">
        <v>6</v>
      </c>
      <c r="P75" s="124"/>
      <c r="Q75" s="125" t="str">
        <f t="shared" si="82"/>
        <v/>
      </c>
      <c r="R75" s="126"/>
      <c r="S75" s="126"/>
      <c r="T75" s="127" t="str">
        <f t="shared" si="78"/>
        <v/>
      </c>
      <c r="U75" s="126"/>
      <c r="V75" s="126"/>
      <c r="W75" s="126"/>
      <c r="X75" s="128" t="str">
        <f t="shared" si="83"/>
        <v/>
      </c>
      <c r="Y75" s="129" t="str">
        <f t="shared" si="79"/>
        <v/>
      </c>
      <c r="Z75" s="130" t="str">
        <f t="shared" si="80"/>
        <v/>
      </c>
      <c r="AA75" s="129" t="str">
        <f t="shared" si="81"/>
        <v/>
      </c>
      <c r="AB75" s="130" t="str">
        <f t="shared" si="84"/>
        <v/>
      </c>
      <c r="AC75" s="131" t="str">
        <f t="shared" si="85"/>
        <v/>
      </c>
      <c r="AD75" s="132"/>
      <c r="AE75" s="133"/>
      <c r="AF75" s="134"/>
      <c r="AG75" s="135"/>
      <c r="AH75" s="135"/>
      <c r="AI75" s="133"/>
      <c r="AJ75" s="134"/>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row>
    <row r="76" spans="1:68" ht="151.5" customHeight="1" x14ac:dyDescent="0.15">
      <c r="A76" s="195">
        <v>12</v>
      </c>
      <c r="B76" s="198" t="s">
        <v>131</v>
      </c>
      <c r="C76" s="198" t="s">
        <v>258</v>
      </c>
      <c r="D76" s="198"/>
      <c r="E76" s="201" t="s">
        <v>257</v>
      </c>
      <c r="F76" s="198" t="s">
        <v>121</v>
      </c>
      <c r="G76" s="204">
        <v>30</v>
      </c>
      <c r="H76" s="189" t="str">
        <f>IF(G76&lt;=0,"",IF(G76&lt;=2,"Muy Baja",IF(G76&lt;=24,"Baja",IF(G76&lt;=500,"Media",IF(G76&lt;=5000,"Alta","Muy Alta")))))</f>
        <v>Media</v>
      </c>
      <c r="I76" s="186">
        <f>IF(H76="","",IF(H76="Muy Baja",0.2,IF(H76="Baja",0.4,IF(H76="Media",0.6,IF(H76="Alta",0.8,IF(H76="Muy Alta",1,))))))</f>
        <v>0.6</v>
      </c>
      <c r="J76" s="183" t="s">
        <v>149</v>
      </c>
      <c r="K76" s="186" t="str">
        <f>IF(NOT(ISERROR(MATCH(J76,'Tabla Impacto'!$B$221:$B$223,0))),'Tabla Impacto'!$F$223&amp;"Por favor no seleccionar los criterios de impacto(Afectación Económica o presupuestal y Pérdida Reputacional)",J76)</f>
        <v xml:space="preserve">     Entre 100 y 500 SMLMV </v>
      </c>
      <c r="L76" s="189" t="str">
        <f>IF(OR(K76='Tabla Impacto'!$C$11,K76='Tabla Impacto'!$D$11),"Leve",IF(OR(K76='Tabla Impacto'!$C$12,K76='Tabla Impacto'!$D$12),"Menor",IF(OR(K76='Tabla Impacto'!$C$13,K76='Tabla Impacto'!$D$13),"Moderado",IF(OR(K76='Tabla Impacto'!$C$14,K76='Tabla Impacto'!$D$14),"Mayor",IF(OR(K76='Tabla Impacto'!$C$15,K76='Tabla Impacto'!$D$15),"Catastrófico","")))))</f>
        <v>Mayor</v>
      </c>
      <c r="M76" s="186">
        <f>IF(L76="","",IF(L76="Leve",0.2,IF(L76="Menor",0.4,IF(L76="Moderado",0.6,IF(L76="Mayor",0.8,IF(L76="Catastrófico",1,))))))</f>
        <v>0.8</v>
      </c>
      <c r="N76" s="192" t="str">
        <f>IF(OR(AND(H76="Muy Baja",L76="Leve"),AND(H76="Muy Baja",L76="Menor"),AND(H76="Baja",L76="Leve")),"Bajo",IF(OR(AND(H76="Muy baja",L76="Moderado"),AND(H76="Baja",L76="Menor"),AND(H76="Baja",L76="Moderado"),AND(H76="Media",L76="Leve"),AND(H76="Media",L76="Menor"),AND(H76="Media",L76="Moderado"),AND(H76="Alta",L76="Leve"),AND(H76="Alta",L76="Menor")),"Moderado",IF(OR(AND(H76="Muy Baja",L76="Mayor"),AND(H76="Baja",L76="Mayor"),AND(H76="Media",L76="Mayor"),AND(H76="Alta",L76="Moderado"),AND(H76="Alta",L76="Mayor"),AND(H76="Muy Alta",L76="Leve"),AND(H76="Muy Alta",L76="Menor"),AND(H76="Muy Alta",L76="Moderado"),AND(H76="Muy Alta",L76="Mayor")),"Alto",IF(OR(AND(H76="Muy Baja",L76="Catastrófico"),AND(H76="Baja",L76="Catastrófico"),AND(H76="Media",L76="Catastrófico"),AND(H76="Alta",L76="Catastrófico"),AND(H76="Muy Alta",L76="Catastrófico")),"Extremo",""))))</f>
        <v>Alto</v>
      </c>
      <c r="O76" s="123">
        <v>1</v>
      </c>
      <c r="P76" s="124" t="s">
        <v>246</v>
      </c>
      <c r="Q76" s="125" t="str">
        <f>IF(OR(R76="Preventivo",R76="Detectivo"),"Probabilidad",IF(R76="Correctivo","Impacto",""))</f>
        <v>Probabilidad</v>
      </c>
      <c r="R76" s="126" t="s">
        <v>12</v>
      </c>
      <c r="S76" s="126" t="s">
        <v>9</v>
      </c>
      <c r="T76" s="127" t="str">
        <f>IF(AND(R76="Preventivo",S76="Automático"),"50%",IF(AND(R76="Preventivo",S76="Manual"),"40%",IF(AND(R76="Detectivo",S76="Automático"),"40%",IF(AND(R76="Detectivo",S76="Manual"),"30%",IF(AND(R76="Correctivo",S76="Automático"),"35%",IF(AND(R76="Correctivo",S76="Manual"),"25%",""))))))</f>
        <v>50%</v>
      </c>
      <c r="U76" s="126" t="s">
        <v>17</v>
      </c>
      <c r="V76" s="126" t="s">
        <v>20</v>
      </c>
      <c r="W76" s="126" t="s">
        <v>117</v>
      </c>
      <c r="X76" s="128">
        <f>IFERROR(IF(Q76="Probabilidad",(I76-(+I76*T76)),IF(Q76="Impacto",I76,"")),"")</f>
        <v>0.3</v>
      </c>
      <c r="Y76" s="129" t="str">
        <f>IFERROR(IF(X76="","",IF(X76&lt;=0.2,"Muy Baja",IF(X76&lt;=0.4,"Baja",IF(X76&lt;=0.6,"Media",IF(X76&lt;=0.8,"Alta","Muy Alta"))))),"")</f>
        <v>Baja</v>
      </c>
      <c r="Z76" s="130">
        <f>+X76</f>
        <v>0.3</v>
      </c>
      <c r="AA76" s="129" t="str">
        <f>IFERROR(IF(AB76="","",IF(AB76&lt;=0.2,"Leve",IF(AB76&lt;=0.4,"Menor",IF(AB76&lt;=0.6,"Moderado",IF(AB76&lt;=0.8,"Mayor","Catastrófico"))))),"")</f>
        <v>Mayor</v>
      </c>
      <c r="AB76" s="130">
        <f>IFERROR(IF(Q76="Impacto",(M76-(+M76*T76)),IF(Q76="Probabilidad",M76,"")),"")</f>
        <v>0.8</v>
      </c>
      <c r="AC76" s="131"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Alto</v>
      </c>
      <c r="AD76" s="132" t="s">
        <v>134</v>
      </c>
      <c r="AE76" s="133"/>
      <c r="AF76" s="134"/>
      <c r="AG76" s="135"/>
      <c r="AH76" s="135"/>
      <c r="AI76" s="133"/>
      <c r="AJ76" s="141"/>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row>
    <row r="77" spans="1:68" ht="151.5" customHeight="1" x14ac:dyDescent="0.15">
      <c r="A77" s="196"/>
      <c r="B77" s="199"/>
      <c r="C77" s="199"/>
      <c r="D77" s="199"/>
      <c r="E77" s="202"/>
      <c r="F77" s="199"/>
      <c r="G77" s="205"/>
      <c r="H77" s="190"/>
      <c r="I77" s="187"/>
      <c r="J77" s="184"/>
      <c r="K77" s="187">
        <f>IF(NOT(ISERROR(MATCH(J77,_xlfn.ANCHORARRAY(E239),0))),I241&amp;"Por favor no seleccionar los criterios de impacto",J77)</f>
        <v>0</v>
      </c>
      <c r="L77" s="190"/>
      <c r="M77" s="187"/>
      <c r="N77" s="193"/>
      <c r="O77" s="123">
        <v>2</v>
      </c>
      <c r="P77" s="124" t="s">
        <v>259</v>
      </c>
      <c r="Q77" s="125" t="str">
        <f>IF(OR(R77="Preventivo",R77="Detectivo"),"Probabilidad",IF(R77="Correctivo","Impacto",""))</f>
        <v>Impacto</v>
      </c>
      <c r="R77" s="126" t="s">
        <v>14</v>
      </c>
      <c r="S77" s="126" t="s">
        <v>8</v>
      </c>
      <c r="T77" s="127" t="str">
        <f t="shared" ref="T77" si="86">IF(AND(R77="Preventivo",S77="Automático"),"50%",IF(AND(R77="Preventivo",S77="Manual"),"40%",IF(AND(R77="Detectivo",S77="Automático"),"40%",IF(AND(R77="Detectivo",S77="Manual"),"30%",IF(AND(R77="Correctivo",S77="Automático"),"35%",IF(AND(R77="Correctivo",S77="Manual"),"25%",""))))))</f>
        <v>25%</v>
      </c>
      <c r="U77" s="126" t="s">
        <v>17</v>
      </c>
      <c r="V77" s="126" t="s">
        <v>20</v>
      </c>
      <c r="W77" s="126" t="s">
        <v>117</v>
      </c>
      <c r="X77" s="128">
        <f>IFERROR(IF(AND(Q76="Probabilidad",Q77="Probabilidad"),(Z76-(+Z76*T77)),IF(Q77="Probabilidad",(I76-(+I76*T77)),IF(Q77="Impacto",Z76,""))),"")</f>
        <v>0.3</v>
      </c>
      <c r="Y77" s="129" t="str">
        <f t="shared" ref="Y77:Y81" si="87">IFERROR(IF(X77="","",IF(X77&lt;=0.2,"Muy Baja",IF(X77&lt;=0.4,"Baja",IF(X77&lt;=0.6,"Media",IF(X77&lt;=0.8,"Alta","Muy Alta"))))),"")</f>
        <v>Baja</v>
      </c>
      <c r="Z77" s="130">
        <f t="shared" ref="Z77:Z81" si="88">+X77</f>
        <v>0.3</v>
      </c>
      <c r="AA77" s="129" t="str">
        <f t="shared" ref="AA77:AA81" si="89">IFERROR(IF(AB77="","",IF(AB77&lt;=0.2,"Leve",IF(AB77&lt;=0.4,"Menor",IF(AB77&lt;=0.6,"Moderado",IF(AB77&lt;=0.8,"Mayor","Catastrófico"))))),"")</f>
        <v>Moderado</v>
      </c>
      <c r="AB77" s="130">
        <f>IFERROR(IF(AND(Q76="Impacto",Q77="Impacto"),(AB76-(+AB76*T77)),IF(Q77="Impacto",(M76-(+M76*T77)),IF(Q77="Probabilidad",AB76,""))),"")</f>
        <v>0.60000000000000009</v>
      </c>
      <c r="AC77" s="131" t="str">
        <f t="shared" ref="AC77" si="90">IFERROR(IF(OR(AND(Y77="Muy Baja",AA77="Leve"),AND(Y77="Muy Baja",AA77="Menor"),AND(Y77="Baja",AA77="Leve")),"Bajo",IF(OR(AND(Y77="Muy baja",AA77="Moderado"),AND(Y77="Baja",AA77="Menor"),AND(Y77="Baja",AA77="Moderado"),AND(Y77="Media",AA77="Leve"),AND(Y77="Media",AA77="Menor"),AND(Y77="Media",AA77="Moderado"),AND(Y77="Alta",AA77="Leve"),AND(Y77="Alta",AA77="Menor")),"Moderado",IF(OR(AND(Y77="Muy Baja",AA77="Mayor"),AND(Y77="Baja",AA77="Mayor"),AND(Y77="Media",AA77="Mayor"),AND(Y77="Alta",AA77="Moderado"),AND(Y77="Alta",AA77="Mayor"),AND(Y77="Muy Alta",AA77="Leve"),AND(Y77="Muy Alta",AA77="Menor"),AND(Y77="Muy Alta",AA77="Moderado"),AND(Y77="Muy Alta",AA77="Mayor")),"Alto",IF(OR(AND(Y77="Muy Baja",AA77="Catastrófico"),AND(Y77="Baja",AA77="Catastrófico"),AND(Y77="Media",AA77="Catastrófico"),AND(Y77="Alta",AA77="Catastrófico"),AND(Y77="Muy Alta",AA77="Catastrófico")),"Extremo","")))),"")</f>
        <v>Moderado</v>
      </c>
      <c r="AD77" s="132" t="s">
        <v>134</v>
      </c>
      <c r="AE77" s="133"/>
      <c r="AF77" s="134"/>
      <c r="AG77" s="135"/>
      <c r="AH77" s="135"/>
      <c r="AI77" s="133"/>
      <c r="AJ77" s="134"/>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row>
    <row r="78" spans="1:68" ht="151.5" customHeight="1" x14ac:dyDescent="0.15">
      <c r="A78" s="196"/>
      <c r="B78" s="199"/>
      <c r="C78" s="199"/>
      <c r="D78" s="199"/>
      <c r="E78" s="202"/>
      <c r="F78" s="199"/>
      <c r="G78" s="205"/>
      <c r="H78" s="190"/>
      <c r="I78" s="187"/>
      <c r="J78" s="184"/>
      <c r="K78" s="187">
        <f>IF(NOT(ISERROR(MATCH(J78,_xlfn.ANCHORARRAY(E240),0))),I242&amp;"Por favor no seleccionar los criterios de impacto",J78)</f>
        <v>0</v>
      </c>
      <c r="L78" s="190"/>
      <c r="M78" s="187"/>
      <c r="N78" s="193"/>
      <c r="O78" s="123">
        <v>3</v>
      </c>
      <c r="P78" s="136"/>
      <c r="Q78" s="125" t="str">
        <f>IF(OR(R78="Preventivo",R78="Detectivo"),"Probabilidad",IF(R78="Correctivo","Impacto",""))</f>
        <v/>
      </c>
      <c r="R78" s="126"/>
      <c r="S78" s="126"/>
      <c r="T78" s="127" t="str">
        <f t="shared" ref="T78:T81" si="91">IF(AND(R78="Preventivo",S78="Automático"),"50%",IF(AND(R78="Preventivo",S78="Manual"),"40%",IF(AND(R78="Detectivo",S78="Automático"),"40%",IF(AND(R78="Detectivo",S78="Manual"),"30%",IF(AND(R78="Correctivo",S78="Automático"),"35%",IF(AND(R78="Correctivo",S78="Manual"),"25%",""))))))</f>
        <v/>
      </c>
      <c r="U78" s="126"/>
      <c r="V78" s="126"/>
      <c r="W78" s="126"/>
      <c r="X78" s="128" t="str">
        <f>IFERROR(IF(AND(Q77="Probabilidad",Q78="Probabilidad"),(Z77-(+Z77*T78)),IF(AND(Q77="Impacto",Q78="Probabilidad"),(Z76-(+Z76*T78)),IF(Q78="Impacto",Z77,""))),"")</f>
        <v/>
      </c>
      <c r="Y78" s="129" t="str">
        <f t="shared" si="87"/>
        <v/>
      </c>
      <c r="Z78" s="130" t="str">
        <f t="shared" si="88"/>
        <v/>
      </c>
      <c r="AA78" s="129" t="str">
        <f t="shared" si="89"/>
        <v/>
      </c>
      <c r="AB78" s="130" t="str">
        <f>IFERROR(IF(AND(Q77="Impacto",Q78="Impacto"),(AB77-(+AB77*T78)),IF(AND(Q77="Probabilidad",Q78="Impacto"),(AB76-(+AB76*T78)),IF(Q78="Probabilidad",AB77,""))),"")</f>
        <v/>
      </c>
      <c r="AC78" s="131"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32"/>
      <c r="AE78" s="133"/>
      <c r="AF78" s="134"/>
      <c r="AG78" s="135"/>
      <c r="AH78" s="135"/>
      <c r="AI78" s="133"/>
      <c r="AJ78" s="134"/>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row>
    <row r="79" spans="1:68" ht="151.5" customHeight="1" x14ac:dyDescent="0.15">
      <c r="A79" s="196"/>
      <c r="B79" s="199"/>
      <c r="C79" s="199"/>
      <c r="D79" s="199"/>
      <c r="E79" s="202"/>
      <c r="F79" s="199"/>
      <c r="G79" s="205"/>
      <c r="H79" s="190"/>
      <c r="I79" s="187"/>
      <c r="J79" s="184"/>
      <c r="K79" s="187">
        <f>IF(NOT(ISERROR(MATCH(J79,_xlfn.ANCHORARRAY(E241),0))),I243&amp;"Por favor no seleccionar los criterios de impacto",J79)</f>
        <v>0</v>
      </c>
      <c r="L79" s="190"/>
      <c r="M79" s="187"/>
      <c r="N79" s="193"/>
      <c r="O79" s="123">
        <v>4</v>
      </c>
      <c r="P79" s="124"/>
      <c r="Q79" s="125" t="str">
        <f t="shared" ref="Q79:Q81" si="92">IF(OR(R79="Preventivo",R79="Detectivo"),"Probabilidad",IF(R79="Correctivo","Impacto",""))</f>
        <v/>
      </c>
      <c r="R79" s="126"/>
      <c r="S79" s="126"/>
      <c r="T79" s="127" t="str">
        <f t="shared" si="91"/>
        <v/>
      </c>
      <c r="U79" s="126"/>
      <c r="V79" s="126"/>
      <c r="W79" s="126"/>
      <c r="X79" s="128" t="str">
        <f>IFERROR(IF(AND(Q78="Probabilidad",Q79="Probabilidad"),(Z78-(+Z78*T79)),IF(AND(Q78="Impacto",Q79="Probabilidad"),(Z77-(+Z77*T79)),IF(Q79="Impacto",Z78,""))),"")</f>
        <v/>
      </c>
      <c r="Y79" s="129" t="str">
        <f t="shared" si="87"/>
        <v/>
      </c>
      <c r="Z79" s="130" t="str">
        <f t="shared" si="88"/>
        <v/>
      </c>
      <c r="AA79" s="129" t="str">
        <f t="shared" si="89"/>
        <v/>
      </c>
      <c r="AB79" s="130" t="str">
        <f>IFERROR(IF(AND(Q78="Impacto",Q79="Impacto"),(AB78-(+AB78*T79)),IF(AND(Q78="Probabilidad",Q79="Impacto"),(AB77-(+AB77*T79)),IF(Q79="Probabilidad",AB78,""))),"")</f>
        <v/>
      </c>
      <c r="AC79" s="131" t="str">
        <f>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32"/>
      <c r="AE79" s="133"/>
      <c r="AF79" s="134"/>
      <c r="AG79" s="135"/>
      <c r="AH79" s="135"/>
      <c r="AI79" s="133"/>
      <c r="AJ79" s="134"/>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row>
    <row r="80" spans="1:68" ht="151.5" customHeight="1" x14ac:dyDescent="0.15">
      <c r="A80" s="196"/>
      <c r="B80" s="199"/>
      <c r="C80" s="199"/>
      <c r="D80" s="199"/>
      <c r="E80" s="202"/>
      <c r="F80" s="199"/>
      <c r="G80" s="205"/>
      <c r="H80" s="190"/>
      <c r="I80" s="187"/>
      <c r="J80" s="184"/>
      <c r="K80" s="187">
        <f>IF(NOT(ISERROR(MATCH(J80,_xlfn.ANCHORARRAY(E242),0))),I244&amp;"Por favor no seleccionar los criterios de impacto",J80)</f>
        <v>0</v>
      </c>
      <c r="L80" s="190"/>
      <c r="M80" s="187"/>
      <c r="N80" s="193"/>
      <c r="O80" s="123">
        <v>5</v>
      </c>
      <c r="P80" s="124"/>
      <c r="Q80" s="125" t="str">
        <f t="shared" si="92"/>
        <v/>
      </c>
      <c r="R80" s="126"/>
      <c r="S80" s="126"/>
      <c r="T80" s="127" t="str">
        <f t="shared" si="91"/>
        <v/>
      </c>
      <c r="U80" s="126"/>
      <c r="V80" s="126"/>
      <c r="W80" s="126"/>
      <c r="X80" s="128" t="str">
        <f>IFERROR(IF(AND(Q79="Probabilidad",Q80="Probabilidad"),(Z79-(+Z79*T80)),IF(AND(Q79="Impacto",Q80="Probabilidad"),(Z78-(+Z78*T80)),IF(Q80="Impacto",Z79,""))),"")</f>
        <v/>
      </c>
      <c r="Y80" s="129" t="str">
        <f t="shared" si="87"/>
        <v/>
      </c>
      <c r="Z80" s="130" t="str">
        <f t="shared" si="88"/>
        <v/>
      </c>
      <c r="AA80" s="129" t="str">
        <f t="shared" si="89"/>
        <v/>
      </c>
      <c r="AB80" s="130" t="str">
        <f>IFERROR(IF(AND(Q79="Impacto",Q80="Impacto"),(AB79-(+AB79*T80)),IF(AND(Q79="Probabilidad",Q80="Impacto"),(AB78-(+AB78*T80)),IF(Q80="Probabilidad",AB79,""))),"")</f>
        <v/>
      </c>
      <c r="AC80" s="131" t="str">
        <f t="shared" ref="AC80:AC81" si="93">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32"/>
      <c r="AE80" s="133"/>
      <c r="AF80" s="134"/>
      <c r="AG80" s="135"/>
      <c r="AH80" s="135"/>
      <c r="AI80" s="133"/>
      <c r="AJ80" s="134"/>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row>
    <row r="81" spans="1:68" ht="151.5" customHeight="1" x14ac:dyDescent="0.15">
      <c r="A81" s="197"/>
      <c r="B81" s="200"/>
      <c r="C81" s="200"/>
      <c r="D81" s="200"/>
      <c r="E81" s="203"/>
      <c r="F81" s="200"/>
      <c r="G81" s="206"/>
      <c r="H81" s="191"/>
      <c r="I81" s="188"/>
      <c r="J81" s="185"/>
      <c r="K81" s="188">
        <f>IF(NOT(ISERROR(MATCH(J81,_xlfn.ANCHORARRAY(E243),0))),I245&amp;"Por favor no seleccionar los criterios de impacto",J81)</f>
        <v>0</v>
      </c>
      <c r="L81" s="191"/>
      <c r="M81" s="188"/>
      <c r="N81" s="194"/>
      <c r="O81" s="123">
        <v>6</v>
      </c>
      <c r="P81" s="124"/>
      <c r="Q81" s="125" t="str">
        <f t="shared" si="92"/>
        <v/>
      </c>
      <c r="R81" s="126"/>
      <c r="S81" s="126"/>
      <c r="T81" s="127" t="str">
        <f t="shared" si="91"/>
        <v/>
      </c>
      <c r="U81" s="126"/>
      <c r="V81" s="126"/>
      <c r="W81" s="126"/>
      <c r="X81" s="128" t="str">
        <f t="shared" ref="X81" si="94">IFERROR(IF(AND(Q80="Probabilidad",Q81="Probabilidad"),(Z80-(+Z80*T81)),IF(AND(Q80="Impacto",Q81="Probabilidad"),(Z79-(+Z79*T81)),IF(Q81="Impacto",Z80,""))),"")</f>
        <v/>
      </c>
      <c r="Y81" s="129" t="str">
        <f t="shared" si="87"/>
        <v/>
      </c>
      <c r="Z81" s="130" t="str">
        <f t="shared" si="88"/>
        <v/>
      </c>
      <c r="AA81" s="129" t="str">
        <f t="shared" si="89"/>
        <v/>
      </c>
      <c r="AB81" s="130" t="str">
        <f t="shared" ref="AB81" si="95">IFERROR(IF(AND(Q80="Impacto",Q81="Impacto"),(AB80-(+AB80*T81)),IF(AND(Q80="Probabilidad",Q81="Impacto"),(AB79-(+AB79*T81)),IF(Q81="Probabilidad",AB80,""))),"")</f>
        <v/>
      </c>
      <c r="AC81" s="131" t="str">
        <f t="shared" si="93"/>
        <v/>
      </c>
      <c r="AD81" s="132"/>
      <c r="AE81" s="133"/>
      <c r="AF81" s="134"/>
      <c r="AG81" s="135"/>
      <c r="AH81" s="135"/>
      <c r="AI81" s="133"/>
      <c r="AJ81" s="134"/>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row>
    <row r="82" spans="1:68" ht="151.5" customHeight="1" x14ac:dyDescent="0.15">
      <c r="A82" s="195">
        <f>+A76+1</f>
        <v>13</v>
      </c>
      <c r="B82" s="198" t="s">
        <v>131</v>
      </c>
      <c r="C82" s="198" t="s">
        <v>261</v>
      </c>
      <c r="D82" s="198"/>
      <c r="E82" s="201" t="s">
        <v>260</v>
      </c>
      <c r="F82" s="198" t="s">
        <v>121</v>
      </c>
      <c r="G82" s="204">
        <v>6000</v>
      </c>
      <c r="H82" s="189" t="str">
        <f>IF(G82&lt;=0,"",IF(G82&lt;=2,"Muy Baja",IF(G82&lt;=24,"Baja",IF(G82&lt;=500,"Media",IF(G82&lt;=5000,"Alta","Muy Alta")))))</f>
        <v>Muy Alta</v>
      </c>
      <c r="I82" s="186">
        <f>IF(H82="","",IF(H82="Muy Baja",0.2,IF(H82="Baja",0.4,IF(H82="Media",0.6,IF(H82="Alta",0.8,IF(H82="Muy Alta",1,))))))</f>
        <v>1</v>
      </c>
      <c r="J82" s="183" t="s">
        <v>149</v>
      </c>
      <c r="K82" s="186" t="str">
        <f>IF(NOT(ISERROR(MATCH(J82,'Tabla Impacto'!$B$221:$B$223,0))),'Tabla Impacto'!$F$223&amp;"Por favor no seleccionar los criterios de impacto(Afectación Económica o presupuestal y Pérdida Reputacional)",J82)</f>
        <v xml:space="preserve">     Entre 100 y 500 SMLMV </v>
      </c>
      <c r="L82" s="189" t="str">
        <f>IF(OR(K82='Tabla Impacto'!$C$11,K82='Tabla Impacto'!$D$11),"Leve",IF(OR(K82='Tabla Impacto'!$C$12,K82='Tabla Impacto'!$D$12),"Menor",IF(OR(K82='Tabla Impacto'!$C$13,K82='Tabla Impacto'!$D$13),"Moderado",IF(OR(K82='Tabla Impacto'!$C$14,K82='Tabla Impacto'!$D$14),"Mayor",IF(OR(K82='Tabla Impacto'!$C$15,K82='Tabla Impacto'!$D$15),"Catastrófico","")))))</f>
        <v>Mayor</v>
      </c>
      <c r="M82" s="186">
        <f>IF(L82="","",IF(L82="Leve",0.2,IF(L82="Menor",0.4,IF(L82="Moderado",0.6,IF(L82="Mayor",0.8,IF(L82="Catastrófico",1,))))))</f>
        <v>0.8</v>
      </c>
      <c r="N82" s="192" t="str">
        <f>IF(OR(AND(H82="Muy Baja",L82="Leve"),AND(H82="Muy Baja",L82="Menor"),AND(H82="Baja",L82="Leve")),"Bajo",IF(OR(AND(H82="Muy baja",L82="Moderado"),AND(H82="Baja",L82="Menor"),AND(H82="Baja",L82="Moderado"),AND(H82="Media",L82="Leve"),AND(H82="Media",L82="Menor"),AND(H82="Media",L82="Moderado"),AND(H82="Alta",L82="Leve"),AND(H82="Alta",L82="Menor")),"Moderado",IF(OR(AND(H82="Muy Baja",L82="Mayor"),AND(H82="Baja",L82="Mayor"),AND(H82="Media",L82="Mayor"),AND(H82="Alta",L82="Moderado"),AND(H82="Alta",L82="Mayor"),AND(H82="Muy Alta",L82="Leve"),AND(H82="Muy Alta",L82="Menor"),AND(H82="Muy Alta",L82="Moderado"),AND(H82="Muy Alta",L82="Mayor")),"Alto",IF(OR(AND(H82="Muy Baja",L82="Catastrófico"),AND(H82="Baja",L82="Catastrófico"),AND(H82="Media",L82="Catastrófico"),AND(H82="Alta",L82="Catastrófico"),AND(H82="Muy Alta",L82="Catastrófico")),"Extremo",""))))</f>
        <v>Alto</v>
      </c>
      <c r="O82" s="123">
        <v>1</v>
      </c>
      <c r="P82" s="124" t="s">
        <v>238</v>
      </c>
      <c r="Q82" s="125" t="str">
        <f t="shared" ref="Q82:Q92" si="96">IF(OR(R82="Preventivo",R82="Detectivo"),"Probabilidad",IF(R82="Correctivo","Impacto",""))</f>
        <v>Probabilidad</v>
      </c>
      <c r="R82" s="126" t="s">
        <v>13</v>
      </c>
      <c r="S82" s="126" t="s">
        <v>8</v>
      </c>
      <c r="T82" s="127" t="str">
        <f t="shared" ref="T82:T92" si="97">IF(AND(R82="Preventivo",S82="Automático"),"50%",IF(AND(R82="Preventivo",S82="Manual"),"40%",IF(AND(R82="Detectivo",S82="Automático"),"40%",IF(AND(R82="Detectivo",S82="Manual"),"30%",IF(AND(R82="Correctivo",S82="Automático"),"35%",IF(AND(R82="Correctivo",S82="Manual"),"25%",""))))))</f>
        <v>30%</v>
      </c>
      <c r="U82" s="126" t="s">
        <v>17</v>
      </c>
      <c r="V82" s="126" t="s">
        <v>20</v>
      </c>
      <c r="W82" s="126" t="s">
        <v>117</v>
      </c>
      <c r="X82" s="128">
        <f>IFERROR(IF(Q82="Probabilidad",(I82-(+I82*T82)),IF(Q82="Impacto",I82,"")),"")</f>
        <v>0.7</v>
      </c>
      <c r="Y82" s="129" t="str">
        <f t="shared" ref="Y82:Y92" si="98">IFERROR(IF(X82="","",IF(X82&lt;=0.2,"Muy Baja",IF(X82&lt;=0.4,"Baja",IF(X82&lt;=0.6,"Media",IF(X82&lt;=0.8,"Alta","Muy Alta"))))),"")</f>
        <v>Alta</v>
      </c>
      <c r="Z82" s="130">
        <f t="shared" ref="Z82:Z92" si="99">+X82</f>
        <v>0.7</v>
      </c>
      <c r="AA82" s="129" t="str">
        <f t="shared" ref="AA82:AA92" si="100">IFERROR(IF(AB82="","",IF(AB82&lt;=0.2,"Leve",IF(AB82&lt;=0.4,"Menor",IF(AB82&lt;=0.6,"Moderado",IF(AB82&lt;=0.8,"Mayor","Catastrófico"))))),"")</f>
        <v>Mayor</v>
      </c>
      <c r="AB82" s="130">
        <f>IFERROR(IF(Q82="Impacto",(M82-(+M82*T82)),IF(Q82="Probabilidad",M82,"")),"")</f>
        <v>0.8</v>
      </c>
      <c r="AC82" s="131" t="str">
        <f t="shared" ref="AC82:AC92" si="101">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Alto</v>
      </c>
      <c r="AD82" s="132" t="s">
        <v>134</v>
      </c>
      <c r="AE82" s="133"/>
      <c r="AF82" s="134"/>
      <c r="AG82" s="135"/>
      <c r="AH82" s="135"/>
      <c r="AI82" s="133"/>
      <c r="AJ82" s="134"/>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row>
    <row r="83" spans="1:68" ht="151.5" customHeight="1" x14ac:dyDescent="0.15">
      <c r="A83" s="196"/>
      <c r="B83" s="199"/>
      <c r="C83" s="199"/>
      <c r="D83" s="199"/>
      <c r="E83" s="202"/>
      <c r="F83" s="199"/>
      <c r="G83" s="205"/>
      <c r="H83" s="190"/>
      <c r="I83" s="187"/>
      <c r="J83" s="184"/>
      <c r="K83" s="187">
        <f>IF(NOT(ISERROR(MATCH(J83,_xlfn.ANCHORARRAY(E257),0))),I259&amp;"Por favor no seleccionar los criterios de impacto",J83)</f>
        <v>0</v>
      </c>
      <c r="L83" s="190"/>
      <c r="M83" s="187"/>
      <c r="N83" s="193"/>
      <c r="O83" s="123">
        <v>2</v>
      </c>
      <c r="P83" s="136" t="s">
        <v>223</v>
      </c>
      <c r="Q83" s="125" t="str">
        <f t="shared" si="96"/>
        <v>Probabilidad</v>
      </c>
      <c r="R83" s="126" t="s">
        <v>13</v>
      </c>
      <c r="S83" s="126" t="s">
        <v>8</v>
      </c>
      <c r="T83" s="127" t="str">
        <f t="shared" si="97"/>
        <v>30%</v>
      </c>
      <c r="U83" s="126" t="s">
        <v>17</v>
      </c>
      <c r="V83" s="126" t="s">
        <v>20</v>
      </c>
      <c r="W83" s="126" t="s">
        <v>117</v>
      </c>
      <c r="X83" s="128">
        <f>IFERROR(IF(AND(Q82="Probabilidad",Q83="Probabilidad"),(Z82-(+Z82*T83)),IF(Q83="Probabilidad",(I82-(+I82*T83)),IF(Q83="Impacto",Z82,""))),"")</f>
        <v>0.49</v>
      </c>
      <c r="Y83" s="129" t="str">
        <f t="shared" si="98"/>
        <v>Media</v>
      </c>
      <c r="Z83" s="130">
        <f t="shared" si="99"/>
        <v>0.49</v>
      </c>
      <c r="AA83" s="129" t="str">
        <f t="shared" si="100"/>
        <v>Mayor</v>
      </c>
      <c r="AB83" s="130">
        <f>IFERROR(IF(AND(Q82="Impacto",Q83="Impacto"),(AB82-(+AB82*T83)),IF(Q83="Impacto",(M82-(+M82*T83)),IF(Q83="Probabilidad",AB82,""))),"")</f>
        <v>0.8</v>
      </c>
      <c r="AC83" s="131" t="str">
        <f t="shared" si="101"/>
        <v>Alto</v>
      </c>
      <c r="AD83" s="132" t="s">
        <v>134</v>
      </c>
      <c r="AE83" s="133"/>
      <c r="AF83" s="134"/>
      <c r="AG83" s="135"/>
      <c r="AH83" s="135"/>
      <c r="AI83" s="133"/>
      <c r="AJ83" s="134"/>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row>
    <row r="84" spans="1:68" ht="151.5" customHeight="1" x14ac:dyDescent="0.15">
      <c r="A84" s="196"/>
      <c r="B84" s="199"/>
      <c r="C84" s="199"/>
      <c r="D84" s="199"/>
      <c r="E84" s="202"/>
      <c r="F84" s="199"/>
      <c r="G84" s="205"/>
      <c r="H84" s="190"/>
      <c r="I84" s="187"/>
      <c r="J84" s="184"/>
      <c r="K84" s="187">
        <f>IF(NOT(ISERROR(MATCH(J84,_xlfn.ANCHORARRAY(E258),0))),I260&amp;"Por favor no seleccionar los criterios de impacto",J84)</f>
        <v>0</v>
      </c>
      <c r="L84" s="190"/>
      <c r="M84" s="187"/>
      <c r="N84" s="193"/>
      <c r="O84" s="123">
        <v>3</v>
      </c>
      <c r="P84" s="124"/>
      <c r="Q84" s="125" t="str">
        <f t="shared" si="96"/>
        <v/>
      </c>
      <c r="R84" s="126"/>
      <c r="S84" s="126"/>
      <c r="T84" s="127" t="str">
        <f t="shared" si="97"/>
        <v/>
      </c>
      <c r="U84" s="126"/>
      <c r="V84" s="126"/>
      <c r="W84" s="126"/>
      <c r="X84" s="128" t="str">
        <f>IFERROR(IF(AND(Q83="Probabilidad",Q84="Probabilidad"),(Z83-(+Z83*T84)),IF(AND(Q83="Impacto",Q84="Probabilidad"),(Z82-(+Z82*T84)),IF(Q84="Impacto",Z83,""))),"")</f>
        <v/>
      </c>
      <c r="Y84" s="129" t="str">
        <f t="shared" si="98"/>
        <v/>
      </c>
      <c r="Z84" s="130" t="str">
        <f t="shared" si="99"/>
        <v/>
      </c>
      <c r="AA84" s="129" t="str">
        <f t="shared" si="100"/>
        <v/>
      </c>
      <c r="AB84" s="130" t="str">
        <f>IFERROR(IF(AND(Q83="Impacto",Q84="Impacto"),(AB83-(+AB83*T84)),IF(AND(Q83="Probabilidad",Q84="Impacto"),(AB82-(+AB82*T84)),IF(Q84="Probabilidad",AB83,""))),"")</f>
        <v/>
      </c>
      <c r="AC84" s="131" t="str">
        <f t="shared" si="101"/>
        <v/>
      </c>
      <c r="AD84" s="132"/>
      <c r="AE84" s="133"/>
      <c r="AF84" s="134"/>
      <c r="AG84" s="135"/>
      <c r="AH84" s="135"/>
      <c r="AI84" s="133"/>
      <c r="AJ84" s="134"/>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row>
    <row r="85" spans="1:68" ht="151.5" customHeight="1" x14ac:dyDescent="0.15">
      <c r="A85" s="196"/>
      <c r="B85" s="199"/>
      <c r="C85" s="199"/>
      <c r="D85" s="199"/>
      <c r="E85" s="202"/>
      <c r="F85" s="199"/>
      <c r="G85" s="205"/>
      <c r="H85" s="190"/>
      <c r="I85" s="187"/>
      <c r="J85" s="184"/>
      <c r="K85" s="187">
        <f>IF(NOT(ISERROR(MATCH(J85,_xlfn.ANCHORARRAY(E259),0))),I261&amp;"Por favor no seleccionar los criterios de impacto",J85)</f>
        <v>0</v>
      </c>
      <c r="L85" s="190"/>
      <c r="M85" s="187"/>
      <c r="N85" s="193"/>
      <c r="O85" s="123">
        <v>4</v>
      </c>
      <c r="P85" s="140"/>
      <c r="Q85" s="125" t="str">
        <f t="shared" si="96"/>
        <v/>
      </c>
      <c r="R85" s="126"/>
      <c r="S85" s="126"/>
      <c r="T85" s="127" t="str">
        <f t="shared" si="97"/>
        <v/>
      </c>
      <c r="U85" s="126"/>
      <c r="V85" s="126"/>
      <c r="W85" s="126"/>
      <c r="X85" s="128" t="str">
        <f>IFERROR(IF(AND(Q84="Probabilidad",Q85="Probabilidad"),(Z84-(+Z84*T85)),IF(AND(Q84="Impacto",Q85="Probabilidad"),(Z83-(+Z83*T85)),IF(Q85="Impacto",Z84,""))),"")</f>
        <v/>
      </c>
      <c r="Y85" s="129" t="str">
        <f t="shared" si="98"/>
        <v/>
      </c>
      <c r="Z85" s="130" t="str">
        <f t="shared" si="99"/>
        <v/>
      </c>
      <c r="AA85" s="129" t="str">
        <f t="shared" si="100"/>
        <v/>
      </c>
      <c r="AB85" s="130" t="str">
        <f>IFERROR(IF(AND(Q84="Impacto",Q85="Impacto"),(AB84-(+AB84*T85)),IF(AND(Q84="Probabilidad",Q85="Impacto"),(AB83-(+AB83*T85)),IF(Q85="Probabilidad",AB84,""))),"")</f>
        <v/>
      </c>
      <c r="AC85" s="131" t="str">
        <f t="shared" si="101"/>
        <v/>
      </c>
      <c r="AD85" s="132"/>
      <c r="AE85" s="133"/>
      <c r="AF85" s="134"/>
      <c r="AG85" s="135"/>
      <c r="AH85" s="135"/>
      <c r="AI85" s="133"/>
      <c r="AJ85" s="134"/>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row>
    <row r="86" spans="1:68" ht="151.5" customHeight="1" x14ac:dyDescent="0.15">
      <c r="A86" s="196"/>
      <c r="B86" s="199"/>
      <c r="C86" s="199"/>
      <c r="D86" s="199"/>
      <c r="E86" s="202"/>
      <c r="F86" s="199"/>
      <c r="G86" s="205"/>
      <c r="H86" s="190"/>
      <c r="I86" s="187"/>
      <c r="J86" s="184"/>
      <c r="K86" s="187">
        <f>IF(NOT(ISERROR(MATCH(J86,_xlfn.ANCHORARRAY(E260),0))),I262&amp;"Por favor no seleccionar los criterios de impacto",J86)</f>
        <v>0</v>
      </c>
      <c r="L86" s="190"/>
      <c r="M86" s="187"/>
      <c r="N86" s="193"/>
      <c r="O86" s="123">
        <v>5</v>
      </c>
      <c r="P86" s="136"/>
      <c r="Q86" s="125" t="str">
        <f t="shared" si="96"/>
        <v/>
      </c>
      <c r="R86" s="126"/>
      <c r="S86" s="126"/>
      <c r="T86" s="127" t="str">
        <f t="shared" si="97"/>
        <v/>
      </c>
      <c r="U86" s="126"/>
      <c r="V86" s="126"/>
      <c r="W86" s="126"/>
      <c r="X86" s="128" t="str">
        <f>IFERROR(IF(AND(Q85="Probabilidad",Q86="Probabilidad"),(Z85-(+Z85*T86)),IF(AND(Q85="Impacto",Q86="Probabilidad"),(Z84-(+Z84*T86)),IF(Q86="Impacto",Z85,""))),"")</f>
        <v/>
      </c>
      <c r="Y86" s="129" t="str">
        <f t="shared" si="98"/>
        <v/>
      </c>
      <c r="Z86" s="130" t="str">
        <f t="shared" si="99"/>
        <v/>
      </c>
      <c r="AA86" s="129" t="str">
        <f t="shared" si="100"/>
        <v/>
      </c>
      <c r="AB86" s="130" t="str">
        <f>IFERROR(IF(AND(Q85="Impacto",Q86="Impacto"),(AB85-(+AB85*T86)),IF(AND(Q85="Probabilidad",Q86="Impacto"),(AB84-(+AB84*T86)),IF(Q86="Probabilidad",AB85,""))),"")</f>
        <v/>
      </c>
      <c r="AC86" s="131" t="str">
        <f t="shared" si="101"/>
        <v/>
      </c>
      <c r="AD86" s="132"/>
      <c r="AE86" s="133"/>
      <c r="AF86" s="134"/>
      <c r="AG86" s="135"/>
      <c r="AH86" s="135"/>
      <c r="AI86" s="133"/>
      <c r="AJ86" s="134"/>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row>
    <row r="87" spans="1:68" ht="151.5" customHeight="1" x14ac:dyDescent="0.15">
      <c r="A87" s="196"/>
      <c r="B87" s="199"/>
      <c r="C87" s="199"/>
      <c r="D87" s="200"/>
      <c r="E87" s="202"/>
      <c r="F87" s="199"/>
      <c r="G87" s="205"/>
      <c r="H87" s="190"/>
      <c r="I87" s="187"/>
      <c r="J87" s="184"/>
      <c r="K87" s="188">
        <f>IF(NOT(ISERROR(MATCH(J87,_xlfn.ANCHORARRAY(E261),0))),I263&amp;"Por favor no seleccionar los criterios de impacto",J87)</f>
        <v>0</v>
      </c>
      <c r="L87" s="190"/>
      <c r="M87" s="187"/>
      <c r="N87" s="193"/>
      <c r="O87" s="123">
        <v>6</v>
      </c>
      <c r="P87" s="124"/>
      <c r="Q87" s="125" t="str">
        <f t="shared" si="96"/>
        <v/>
      </c>
      <c r="R87" s="126"/>
      <c r="S87" s="126"/>
      <c r="T87" s="127" t="str">
        <f t="shared" si="97"/>
        <v/>
      </c>
      <c r="U87" s="126"/>
      <c r="V87" s="126"/>
      <c r="W87" s="126"/>
      <c r="X87" s="128" t="str">
        <f>IFERROR(IF(AND(Q86="Probabilidad",Q87="Probabilidad"),(Z86-(+Z86*T87)),IF(AND(Q86="Impacto",Q87="Probabilidad"),(Z85-(+Z85*T87)),IF(Q87="Impacto",Z86,""))),"")</f>
        <v/>
      </c>
      <c r="Y87" s="129" t="str">
        <f t="shared" si="98"/>
        <v/>
      </c>
      <c r="Z87" s="130" t="str">
        <f t="shared" si="99"/>
        <v/>
      </c>
      <c r="AA87" s="129" t="str">
        <f t="shared" si="100"/>
        <v/>
      </c>
      <c r="AB87" s="130" t="str">
        <f>IFERROR(IF(AND(Q86="Impacto",Q87="Impacto"),(AB86-(+AB86*T87)),IF(AND(Q86="Probabilidad",Q87="Impacto"),(AB85-(+AB85*T87)),IF(Q87="Probabilidad",AB86,""))),"")</f>
        <v/>
      </c>
      <c r="AC87" s="131" t="str">
        <f t="shared" si="101"/>
        <v/>
      </c>
      <c r="AD87" s="132"/>
      <c r="AE87" s="133"/>
      <c r="AF87" s="134"/>
      <c r="AG87" s="135"/>
      <c r="AH87" s="135"/>
      <c r="AI87" s="133"/>
      <c r="AJ87" s="134"/>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151.5" customHeight="1" x14ac:dyDescent="0.15">
      <c r="A88" s="196"/>
      <c r="B88" s="199"/>
      <c r="C88" s="199"/>
      <c r="D88" s="139"/>
      <c r="E88" s="202"/>
      <c r="F88" s="199"/>
      <c r="G88" s="205"/>
      <c r="H88" s="190"/>
      <c r="I88" s="187"/>
      <c r="J88" s="184"/>
      <c r="K88" s="138"/>
      <c r="L88" s="190"/>
      <c r="M88" s="187"/>
      <c r="N88" s="193"/>
      <c r="O88" s="123">
        <v>7</v>
      </c>
      <c r="P88" s="124"/>
      <c r="Q88" s="125" t="str">
        <f t="shared" si="96"/>
        <v/>
      </c>
      <c r="R88" s="126"/>
      <c r="S88" s="126"/>
      <c r="T88" s="127" t="str">
        <f t="shared" si="97"/>
        <v/>
      </c>
      <c r="U88" s="126"/>
      <c r="V88" s="126"/>
      <c r="W88" s="126"/>
      <c r="X88" s="128" t="str">
        <f>IFERROR(IF(AND(Q87="Probabilidad",Q88="Probabilidad"),(Z87-(+Z87*T88)),IF(AND(Q87="Impacto",Q88="Probabilidad"),(Z86-(+Z86*T88)),IF(Q88="Impacto",Z87,""))),"")</f>
        <v/>
      </c>
      <c r="Y88" s="129" t="str">
        <f t="shared" si="98"/>
        <v/>
      </c>
      <c r="Z88" s="130" t="str">
        <f t="shared" si="99"/>
        <v/>
      </c>
      <c r="AA88" s="129" t="str">
        <f t="shared" si="100"/>
        <v/>
      </c>
      <c r="AB88" s="130" t="str">
        <f>IFERROR(IF(AND(Q87="Impacto",Q88="Impacto"),(AB87-(+AB87*T88)),IF(AND(Q87="Probabilidad",Q88="Impacto"),(AB86-(+AB86*T88)),IF(Q88="Probabilidad",AB87,""))),"")</f>
        <v/>
      </c>
      <c r="AC88" s="131" t="str">
        <f t="shared" si="101"/>
        <v/>
      </c>
      <c r="AD88" s="132"/>
      <c r="AE88" s="133"/>
      <c r="AF88" s="134"/>
      <c r="AG88" s="135"/>
      <c r="AH88" s="135"/>
      <c r="AI88" s="133"/>
      <c r="AJ88" s="134"/>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row>
    <row r="89" spans="1:68" ht="151.5" customHeight="1" x14ac:dyDescent="0.15">
      <c r="A89" s="195">
        <f>+A82+1</f>
        <v>14</v>
      </c>
      <c r="B89" s="198" t="s">
        <v>131</v>
      </c>
      <c r="C89" s="198" t="s">
        <v>263</v>
      </c>
      <c r="D89" s="198"/>
      <c r="E89" s="201" t="s">
        <v>262</v>
      </c>
      <c r="F89" s="198" t="s">
        <v>121</v>
      </c>
      <c r="G89" s="204">
        <v>5030</v>
      </c>
      <c r="H89" s="189" t="str">
        <f>IF(G89&lt;=0,"",IF(G89&lt;=2,"Muy Baja",IF(G89&lt;=24,"Baja",IF(G89&lt;=500,"Media",IF(G89&lt;=5000,"Alta","Muy Alta")))))</f>
        <v>Muy Alta</v>
      </c>
      <c r="I89" s="186">
        <f>IF(H89="","",IF(H89="Muy Baja",0.2,IF(H89="Baja",0.4,IF(H89="Media",0.6,IF(H89="Alta",0.8,IF(H89="Muy Alta",1,))))))</f>
        <v>1</v>
      </c>
      <c r="J89" s="183" t="s">
        <v>149</v>
      </c>
      <c r="K89" s="186" t="str">
        <f>IF(NOT(ISERROR(MATCH(J89,'Tabla Impacto'!$B$221:$B$223,0))),'Tabla Impacto'!$F$223&amp;"Por favor no seleccionar los criterios de impacto(Afectación Económica o presupuestal y Pérdida Reputacional)",J89)</f>
        <v xml:space="preserve">     Entre 100 y 500 SMLMV </v>
      </c>
      <c r="L89" s="189" t="str">
        <f>IF(OR(K89='Tabla Impacto'!$C$11,K89='Tabla Impacto'!$D$11),"Leve",IF(OR(K89='Tabla Impacto'!$C$12,K89='Tabla Impacto'!$D$12),"Menor",IF(OR(K89='Tabla Impacto'!$C$13,K89='Tabla Impacto'!$D$13),"Moderado",IF(OR(K89='Tabla Impacto'!$C$14,K89='Tabla Impacto'!$D$14),"Mayor",IF(OR(K89='Tabla Impacto'!$C$15,K89='Tabla Impacto'!$D$15),"Catastrófico","")))))</f>
        <v>Mayor</v>
      </c>
      <c r="M89" s="186">
        <f>IF(L89="","",IF(L89="Leve",0.2,IF(L89="Menor",0.4,IF(L89="Moderado",0.6,IF(L89="Mayor",0.8,IF(L89="Catastrófico",1,))))))</f>
        <v>0.8</v>
      </c>
      <c r="N89" s="192" t="str">
        <f>IF(OR(AND(H89="Muy Baja",L89="Leve"),AND(H89="Muy Baja",L89="Menor"),AND(H89="Baja",L89="Leve")),"Bajo",IF(OR(AND(H89="Muy baja",L89="Moderado"),AND(H89="Baja",L89="Menor"),AND(H89="Baja",L89="Moderado"),AND(H89="Media",L89="Leve"),AND(H89="Media",L89="Menor"),AND(H89="Media",L89="Moderado"),AND(H89="Alta",L89="Leve"),AND(H89="Alta",L89="Menor")),"Moderado",IF(OR(AND(H89="Muy Baja",L89="Mayor"),AND(H89="Baja",L89="Mayor"),AND(H89="Media",L89="Mayor"),AND(H89="Alta",L89="Moderado"),AND(H89="Alta",L89="Mayor"),AND(H89="Muy Alta",L89="Leve"),AND(H89="Muy Alta",L89="Menor"),AND(H89="Muy Alta",L89="Moderado"),AND(H89="Muy Alta",L89="Mayor")),"Alto",IF(OR(AND(H89="Muy Baja",L89="Catastrófico"),AND(H89="Baja",L89="Catastrófico"),AND(H89="Media",L89="Catastrófico"),AND(H89="Alta",L89="Catastrófico"),AND(H89="Muy Alta",L89="Catastrófico")),"Extremo",""))))</f>
        <v>Alto</v>
      </c>
      <c r="O89" s="123">
        <v>1</v>
      </c>
      <c r="P89" s="124" t="s">
        <v>264</v>
      </c>
      <c r="Q89" s="125" t="str">
        <f t="shared" si="96"/>
        <v>Probabilidad</v>
      </c>
      <c r="R89" s="126" t="s">
        <v>12</v>
      </c>
      <c r="S89" s="126" t="s">
        <v>9</v>
      </c>
      <c r="T89" s="127" t="str">
        <f>IF(AND(R89="Preventivo",S89="Automático"),"50%",IF(AND(R89="Preventivo",S89="Manual"),"40%",IF(AND(R89="Detectivo",S89="Automático"),"40%",IF(AND(R89="Detectivo",S89="Manual"),"30%",IF(AND(R89="Correctivo",S89="Automático"),"35%",IF(AND(R89="Correctivo",S89="Manual"),"25%",""))))))</f>
        <v>50%</v>
      </c>
      <c r="U89" s="126" t="s">
        <v>17</v>
      </c>
      <c r="V89" s="126" t="s">
        <v>20</v>
      </c>
      <c r="W89" s="126" t="s">
        <v>117</v>
      </c>
      <c r="X89" s="128">
        <f>IFERROR(IF(Q89="Probabilidad",(I89-(+I89*T89)),IF(Q89="Impacto",I89,"")),"")</f>
        <v>0.5</v>
      </c>
      <c r="Y89" s="129" t="str">
        <f>IFERROR(IF(X89="","",IF(X89&lt;=0.2,"Muy Baja",IF(X89&lt;=0.4,"Baja",IF(X89&lt;=0.6,"Media",IF(X89&lt;=0.8,"Alta","Muy Alta"))))),"")</f>
        <v>Media</v>
      </c>
      <c r="Z89" s="130">
        <f>+X89</f>
        <v>0.5</v>
      </c>
      <c r="AA89" s="129" t="str">
        <f t="shared" si="100"/>
        <v>Mayor</v>
      </c>
      <c r="AB89" s="130">
        <f>IFERROR(IF(Q89="Impacto",(M89-(+M89*T89)),IF(Q89="Probabilidad",M89,"")),"")</f>
        <v>0.8</v>
      </c>
      <c r="AC89" s="131" t="str">
        <f t="shared" si="101"/>
        <v>Alto</v>
      </c>
      <c r="AD89" s="132" t="s">
        <v>134</v>
      </c>
      <c r="AE89" s="133"/>
      <c r="AF89" s="134"/>
      <c r="AG89" s="135"/>
      <c r="AH89" s="135"/>
      <c r="AI89" s="133"/>
      <c r="AJ89" s="134"/>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row>
    <row r="90" spans="1:68" ht="151.5" customHeight="1" x14ac:dyDescent="0.15">
      <c r="A90" s="196"/>
      <c r="B90" s="199"/>
      <c r="C90" s="199"/>
      <c r="D90" s="199"/>
      <c r="E90" s="202"/>
      <c r="F90" s="199"/>
      <c r="G90" s="205"/>
      <c r="H90" s="190"/>
      <c r="I90" s="187"/>
      <c r="J90" s="184"/>
      <c r="K90" s="187">
        <f>IF(NOT(ISERROR(MATCH(J90,_xlfn.ANCHORARRAY(E272),0))),I274&amp;"Por favor no seleccionar los criterios de impacto",J90)</f>
        <v>0</v>
      </c>
      <c r="L90" s="190"/>
      <c r="M90" s="187"/>
      <c r="N90" s="193"/>
      <c r="O90" s="123">
        <v>2</v>
      </c>
      <c r="P90" s="124" t="s">
        <v>265</v>
      </c>
      <c r="Q90" s="125" t="str">
        <f t="shared" si="96"/>
        <v>Impacto</v>
      </c>
      <c r="R90" s="126" t="s">
        <v>14</v>
      </c>
      <c r="S90" s="126" t="s">
        <v>9</v>
      </c>
      <c r="T90" s="127" t="str">
        <f>IF(AND(R90="Preventivo",S90="Automático"),"50%",IF(AND(R90="Preventivo",S90="Manual"),"40%",IF(AND(R90="Detectivo",S90="Automático"),"40%",IF(AND(R90="Detectivo",S90="Manual"),"30%",IF(AND(R90="Correctivo",S90="Automático"),"35%",IF(AND(R90="Correctivo",S90="Manual"),"25%",""))))))</f>
        <v>35%</v>
      </c>
      <c r="U90" s="126" t="s">
        <v>17</v>
      </c>
      <c r="V90" s="126" t="s">
        <v>20</v>
      </c>
      <c r="W90" s="126" t="s">
        <v>117</v>
      </c>
      <c r="X90" s="128">
        <f>IFERROR(IF(AND(Q89="Probabilidad",Q90="Probabilidad"),(Z89-(+Z89*T90)),IF(Q90="Probabilidad",(I89-(+I89*T90)),IF(Q90="Impacto",Z89,""))),"")</f>
        <v>0.5</v>
      </c>
      <c r="Y90" s="129" t="str">
        <f t="shared" si="98"/>
        <v>Media</v>
      </c>
      <c r="Z90" s="130">
        <f t="shared" si="99"/>
        <v>0.5</v>
      </c>
      <c r="AA90" s="129" t="str">
        <f t="shared" si="100"/>
        <v>Moderado</v>
      </c>
      <c r="AB90" s="130">
        <f>IFERROR(IF(AND(Q89="Impacto",Q90="Impacto"),(AB89-(+AB89*T90)),IF(Q90="Impacto",(M89-(+M89*T90)),IF(Q90="Probabilidad",AB89,""))),"")</f>
        <v>0.52</v>
      </c>
      <c r="AC90" s="131" t="str">
        <f t="shared" si="101"/>
        <v>Moderado</v>
      </c>
      <c r="AD90" s="132" t="s">
        <v>134</v>
      </c>
      <c r="AE90" s="133"/>
      <c r="AF90" s="134"/>
      <c r="AG90" s="135"/>
      <c r="AH90" s="135"/>
      <c r="AI90" s="133"/>
      <c r="AJ90" s="134"/>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row>
    <row r="91" spans="1:68" ht="151.5" customHeight="1" x14ac:dyDescent="0.15">
      <c r="A91" s="196"/>
      <c r="B91" s="199"/>
      <c r="C91" s="199"/>
      <c r="D91" s="199"/>
      <c r="E91" s="202"/>
      <c r="F91" s="199"/>
      <c r="G91" s="205"/>
      <c r="H91" s="190"/>
      <c r="I91" s="187"/>
      <c r="J91" s="184"/>
      <c r="K91" s="187">
        <f>IF(NOT(ISERROR(MATCH(J91,_xlfn.ANCHORARRAY(E273),0))),I275&amp;"Por favor no seleccionar los criterios de impacto",J91)</f>
        <v>0</v>
      </c>
      <c r="L91" s="190"/>
      <c r="M91" s="187"/>
      <c r="N91" s="193"/>
      <c r="O91" s="123">
        <v>3</v>
      </c>
      <c r="P91" s="124"/>
      <c r="Q91" s="125" t="str">
        <f t="shared" si="96"/>
        <v/>
      </c>
      <c r="R91" s="126"/>
      <c r="S91" s="126"/>
      <c r="T91" s="127" t="str">
        <f>IF(AND(R91="Preventivo",S91="Automático"),"50%",IF(AND(R91="Preventivo",S91="Manual"),"40%",IF(AND(R91="Detectivo",S91="Automático"),"40%",IF(AND(R91="Detectivo",S91="Manual"),"30%",IF(AND(R91="Correctivo",S91="Automático"),"35%",IF(AND(R91="Correctivo",S91="Manual"),"25%",""))))))</f>
        <v/>
      </c>
      <c r="U91" s="126"/>
      <c r="V91" s="126"/>
      <c r="W91" s="126"/>
      <c r="X91" s="128" t="str">
        <f>IFERROR(IF(AND(Q90="Probabilidad",Q91="Probabilidad"),(Z90-(+Z90*T91)),IF(AND(Q90="Impacto",Q91="Probabilidad"),(Z89-(+Z89*T91)),IF(Q91="Impacto",Z90,""))),"")</f>
        <v/>
      </c>
      <c r="Y91" s="129" t="str">
        <f t="shared" si="98"/>
        <v/>
      </c>
      <c r="Z91" s="130" t="str">
        <f t="shared" si="99"/>
        <v/>
      </c>
      <c r="AA91" s="129" t="str">
        <f t="shared" si="100"/>
        <v/>
      </c>
      <c r="AB91" s="130" t="str">
        <f>IFERROR(IF(AND(Q90="Impacto",Q91="Impacto"),(AB90-(+AB90*T91)),IF(AND(Q90="Probabilidad",Q91="Impacto"),(AB89-(+AB89*T91)),IF(Q91="Probabilidad",AB90,""))),"")</f>
        <v/>
      </c>
      <c r="AC91" s="131" t="str">
        <f t="shared" si="101"/>
        <v/>
      </c>
      <c r="AD91" s="132"/>
      <c r="AE91" s="133"/>
      <c r="AF91" s="134"/>
      <c r="AG91" s="135"/>
      <c r="AH91" s="135"/>
      <c r="AI91" s="133"/>
      <c r="AJ91" s="134"/>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row>
    <row r="92" spans="1:68" ht="151.5" customHeight="1" x14ac:dyDescent="0.15">
      <c r="A92" s="196"/>
      <c r="B92" s="199"/>
      <c r="C92" s="199"/>
      <c r="D92" s="199"/>
      <c r="E92" s="202"/>
      <c r="F92" s="199"/>
      <c r="G92" s="205"/>
      <c r="H92" s="190"/>
      <c r="I92" s="187"/>
      <c r="J92" s="184"/>
      <c r="K92" s="187">
        <f>IF(NOT(ISERROR(MATCH(J92,_xlfn.ANCHORARRAY(E274),0))),I276&amp;"Por favor no seleccionar los criterios de impacto",J92)</f>
        <v>0</v>
      </c>
      <c r="L92" s="190"/>
      <c r="M92" s="187"/>
      <c r="N92" s="193"/>
      <c r="O92" s="123">
        <v>4</v>
      </c>
      <c r="P92" s="124"/>
      <c r="Q92" s="125" t="str">
        <f t="shared" si="96"/>
        <v/>
      </c>
      <c r="R92" s="126"/>
      <c r="S92" s="126"/>
      <c r="T92" s="127" t="str">
        <f t="shared" si="97"/>
        <v/>
      </c>
      <c r="U92" s="126"/>
      <c r="V92" s="126"/>
      <c r="W92" s="126"/>
      <c r="X92" s="128" t="str">
        <f>IFERROR(IF(AND(Q91="Probabilidad",Q92="Probabilidad"),(Z91-(+Z91*T92)),IF(AND(Q91="Impacto",Q92="Probabilidad"),(Z90-(+Z90*T92)),IF(Q92="Impacto",Z91,""))),"")</f>
        <v/>
      </c>
      <c r="Y92" s="129" t="str">
        <f t="shared" si="98"/>
        <v/>
      </c>
      <c r="Z92" s="130" t="str">
        <f t="shared" si="99"/>
        <v/>
      </c>
      <c r="AA92" s="129" t="str">
        <f t="shared" si="100"/>
        <v/>
      </c>
      <c r="AB92" s="130" t="str">
        <f>IFERROR(IF(AND(Q91="Impacto",Q92="Impacto"),(AB91-(+AB91*T92)),IF(AND(Q91="Probabilidad",Q92="Impacto"),(AB90-(+AB90*T92)),IF(Q92="Probabilidad",AB91,""))),"")</f>
        <v/>
      </c>
      <c r="AC92" s="131" t="str">
        <f t="shared" si="101"/>
        <v/>
      </c>
      <c r="AD92" s="132"/>
      <c r="AE92" s="133"/>
      <c r="AF92" s="134"/>
      <c r="AG92" s="135"/>
      <c r="AH92" s="135"/>
      <c r="AI92" s="133"/>
      <c r="AJ92" s="134"/>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row>
    <row r="93" spans="1:68" ht="151.5" customHeight="1" x14ac:dyDescent="0.15">
      <c r="A93" s="196"/>
      <c r="B93" s="199"/>
      <c r="C93" s="199"/>
      <c r="D93" s="199"/>
      <c r="E93" s="202"/>
      <c r="F93" s="199"/>
      <c r="G93" s="205"/>
      <c r="H93" s="190"/>
      <c r="I93" s="187"/>
      <c r="J93" s="184"/>
      <c r="K93" s="187">
        <f>IF(NOT(ISERROR(MATCH(J93,_xlfn.ANCHORARRAY(E275),0))),I277&amp;"Por favor no seleccionar los criterios de impacto",J93)</f>
        <v>0</v>
      </c>
      <c r="L93" s="190"/>
      <c r="M93" s="187"/>
      <c r="N93" s="193"/>
      <c r="O93" s="123"/>
      <c r="P93" s="124"/>
      <c r="Q93" s="125"/>
      <c r="R93" s="126"/>
      <c r="S93" s="126"/>
      <c r="T93" s="127"/>
      <c r="U93" s="126"/>
      <c r="V93" s="126"/>
      <c r="W93" s="126"/>
      <c r="X93" s="128"/>
      <c r="Y93" s="129"/>
      <c r="Z93" s="130"/>
      <c r="AA93" s="129"/>
      <c r="AB93" s="130"/>
      <c r="AC93" s="131"/>
      <c r="AD93" s="132"/>
      <c r="AE93" s="133"/>
      <c r="AF93" s="134"/>
      <c r="AG93" s="135"/>
      <c r="AH93" s="135"/>
      <c r="AI93" s="133"/>
      <c r="AJ93" s="134"/>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row>
    <row r="94" spans="1:68" ht="151.5" customHeight="1" x14ac:dyDescent="0.15">
      <c r="A94" s="197"/>
      <c r="B94" s="200"/>
      <c r="C94" s="200"/>
      <c r="D94" s="200"/>
      <c r="E94" s="203"/>
      <c r="F94" s="200"/>
      <c r="G94" s="206"/>
      <c r="H94" s="191"/>
      <c r="I94" s="188"/>
      <c r="J94" s="185"/>
      <c r="K94" s="188">
        <f>IF(NOT(ISERROR(MATCH(J94,_xlfn.ANCHORARRAY(E276),0))),I278&amp;"Por favor no seleccionar los criterios de impacto",J94)</f>
        <v>0</v>
      </c>
      <c r="L94" s="191"/>
      <c r="M94" s="188"/>
      <c r="N94" s="194"/>
      <c r="O94" s="123"/>
      <c r="P94" s="124"/>
      <c r="Q94" s="125" t="str">
        <f t="shared" ref="Q94" si="102">IF(OR(R94="Preventivo",R94="Detectivo"),"Probabilidad",IF(R94="Correctivo","Impacto",""))</f>
        <v/>
      </c>
      <c r="R94" s="126"/>
      <c r="S94" s="126"/>
      <c r="T94" s="127" t="str">
        <f t="shared" ref="T94" si="103">IF(AND(R94="Preventivo",S94="Automático"),"50%",IF(AND(R94="Preventivo",S94="Manual"),"40%",IF(AND(R94="Detectivo",S94="Automático"),"40%",IF(AND(R94="Detectivo",S94="Manual"),"30%",IF(AND(R94="Correctivo",S94="Automático"),"35%",IF(AND(R94="Correctivo",S94="Manual"),"25%",""))))))</f>
        <v/>
      </c>
      <c r="U94" s="126"/>
      <c r="V94" s="126"/>
      <c r="W94" s="126"/>
      <c r="X94" s="128" t="str">
        <f t="shared" ref="X94" si="104">IFERROR(IF(AND(Q93="Probabilidad",Q94="Probabilidad"),(Z93-(+Z93*T94)),IF(AND(Q93="Impacto",Q94="Probabilidad"),(Z92-(+Z92*T94)),IF(Q94="Impacto",Z93,""))),"")</f>
        <v/>
      </c>
      <c r="Y94" s="129" t="str">
        <f t="shared" ref="Y94" si="105">IFERROR(IF(X94="","",IF(X94&lt;=0.2,"Muy Baja",IF(X94&lt;=0.4,"Baja",IF(X94&lt;=0.6,"Media",IF(X94&lt;=0.8,"Alta","Muy Alta"))))),"")</f>
        <v/>
      </c>
      <c r="Z94" s="130" t="str">
        <f t="shared" ref="Z94" si="106">+X94</f>
        <v/>
      </c>
      <c r="AA94" s="129" t="str">
        <f t="shared" ref="AA94" si="107">IFERROR(IF(AB94="","",IF(AB94&lt;=0.2,"Leve",IF(AB94&lt;=0.4,"Menor",IF(AB94&lt;=0.6,"Moderado",IF(AB94&lt;=0.8,"Mayor","Catastrófico"))))),"")</f>
        <v/>
      </c>
      <c r="AB94" s="130" t="str">
        <f t="shared" ref="AB94" si="108">IFERROR(IF(AND(Q93="Impacto",Q94="Impacto"),(AB93-(+AB93*T94)),IF(AND(Q93="Probabilidad",Q94="Impacto"),(AB92-(+AB92*T94)),IF(Q94="Probabilidad",AB93,""))),"")</f>
        <v/>
      </c>
      <c r="AC94" s="131" t="str">
        <f t="shared" ref="AC94" si="109">IFERROR(IF(OR(AND(Y94="Muy Baja",AA94="Leve"),AND(Y94="Muy Baja",AA94="Menor"),AND(Y94="Baja",AA94="Leve")),"Bajo",IF(OR(AND(Y94="Muy baja",AA94="Moderado"),AND(Y94="Baja",AA94="Menor"),AND(Y94="Baja",AA94="Moderado"),AND(Y94="Media",AA94="Leve"),AND(Y94="Media",AA94="Menor"),AND(Y94="Media",AA94="Moderado"),AND(Y94="Alta",AA94="Leve"),AND(Y94="Alta",AA94="Menor")),"Moderado",IF(OR(AND(Y94="Muy Baja",AA94="Mayor"),AND(Y94="Baja",AA94="Mayor"),AND(Y94="Media",AA94="Mayor"),AND(Y94="Alta",AA94="Moderado"),AND(Y94="Alta",AA94="Mayor"),AND(Y94="Muy Alta",AA94="Leve"),AND(Y94="Muy Alta",AA94="Menor"),AND(Y94="Muy Alta",AA94="Moderado"),AND(Y94="Muy Alta",AA94="Mayor")),"Alto",IF(OR(AND(Y94="Muy Baja",AA94="Catastrófico"),AND(Y94="Baja",AA94="Catastrófico"),AND(Y94="Media",AA94="Catastrófico"),AND(Y94="Alta",AA94="Catastrófico"),AND(Y94="Muy Alta",AA94="Catastrófico")),"Extremo","")))),"")</f>
        <v/>
      </c>
      <c r="AD94" s="132"/>
      <c r="AE94" s="133"/>
      <c r="AF94" s="134"/>
      <c r="AG94" s="135"/>
      <c r="AH94" s="135"/>
      <c r="AI94" s="133"/>
      <c r="AJ94" s="134"/>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row>
    <row r="95" spans="1:68" ht="151.5" customHeight="1" x14ac:dyDescent="0.15">
      <c r="A95" s="195">
        <f>+A89+1</f>
        <v>15</v>
      </c>
      <c r="B95" s="198" t="s">
        <v>131</v>
      </c>
      <c r="C95" s="198" t="s">
        <v>267</v>
      </c>
      <c r="D95" s="198"/>
      <c r="E95" s="201" t="s">
        <v>266</v>
      </c>
      <c r="F95" s="198" t="s">
        <v>121</v>
      </c>
      <c r="G95" s="204">
        <v>2</v>
      </c>
      <c r="H95" s="189" t="str">
        <f>IF(G95&lt;=0,"",IF(G95&lt;=2,"Muy Baja",IF(G95&lt;=24,"Baja",IF(G95&lt;=500,"Media",IF(G95&lt;=5000,"Alta","Muy Alta")))))</f>
        <v>Muy Baja</v>
      </c>
      <c r="I95" s="186">
        <f>IF(H95="","",IF(H95="Muy Baja",0.2,IF(H95="Baja",0.4,IF(H95="Media",0.6,IF(H95="Alta",0.8,IF(H95="Muy Alta",1,))))))</f>
        <v>0.2</v>
      </c>
      <c r="J95" s="183" t="s">
        <v>150</v>
      </c>
      <c r="K95" s="186" t="str">
        <f>IF(NOT(ISERROR(MATCH(J95,'Tabla Impacto'!$B$221:$B$223,0))),'Tabla Impacto'!$F$223&amp;"Por favor no seleccionar los criterios de impacto(Afectación Económica o presupuestal y Pérdida Reputacional)",J95)</f>
        <v xml:space="preserve">     Mayor a 500 SMLMV </v>
      </c>
      <c r="L95" s="189" t="str">
        <f>IF(OR(K95='Tabla Impacto'!$C$11,K95='Tabla Impacto'!$D$11),"Leve",IF(OR(K95='Tabla Impacto'!$C$12,K95='Tabla Impacto'!$D$12),"Menor",IF(OR(K95='Tabla Impacto'!$C$13,K95='Tabla Impacto'!$D$13),"Moderado",IF(OR(K95='Tabla Impacto'!$C$14,K95='Tabla Impacto'!$D$14),"Mayor",IF(OR(K95='Tabla Impacto'!$C$15,K95='Tabla Impacto'!$D$15),"Catastrófico","")))))</f>
        <v>Catastrófico</v>
      </c>
      <c r="M95" s="186">
        <f>IF(L95="","",IF(L95="Leve",0.2,IF(L95="Menor",0.4,IF(L95="Moderado",0.6,IF(L95="Mayor",0.8,IF(L95="Catastrófico",1,))))))</f>
        <v>1</v>
      </c>
      <c r="N95" s="192" t="str">
        <f>IF(OR(AND(H95="Muy Baja",L95="Leve"),AND(H95="Muy Baja",L95="Menor"),AND(H95="Baja",L95="Leve")),"Bajo",IF(OR(AND(H95="Muy baja",L95="Moderado"),AND(H95="Baja",L95="Menor"),AND(H95="Baja",L95="Moderado"),AND(H95="Media",L95="Leve"),AND(H95="Media",L95="Menor"),AND(H95="Media",L95="Moderado"),AND(H95="Alta",L95="Leve"),AND(H95="Alta",L95="Menor")),"Moderado",IF(OR(AND(H95="Muy Baja",L95="Mayor"),AND(H95="Baja",L95="Mayor"),AND(H95="Media",L95="Mayor"),AND(H95="Alta",L95="Moderado"),AND(H95="Alta",L95="Mayor"),AND(H95="Muy Alta",L95="Leve"),AND(H95="Muy Alta",L95="Menor"),AND(H95="Muy Alta",L95="Moderado"),AND(H95="Muy Alta",L95="Mayor")),"Alto",IF(OR(AND(H95="Muy Baja",L95="Catastrófico"),AND(H95="Baja",L95="Catastrófico"),AND(H95="Media",L95="Catastrófico"),AND(H95="Alta",L95="Catastrófico"),AND(H95="Muy Alta",L95="Catastrófico")),"Extremo",""))))</f>
        <v>Extremo</v>
      </c>
      <c r="O95" s="123">
        <v>1</v>
      </c>
      <c r="P95" s="124" t="s">
        <v>268</v>
      </c>
      <c r="Q95" s="125" t="str">
        <f>IF(OR(R95="Preventivo",R95="Detectivo"),"Probabilidad",IF(R95="Correctivo","Impacto",""))</f>
        <v>Impacto</v>
      </c>
      <c r="R95" s="126" t="s">
        <v>14</v>
      </c>
      <c r="S95" s="126" t="s">
        <v>9</v>
      </c>
      <c r="T95" s="127" t="str">
        <f>IF(AND(R95="Preventivo",S95="Automático"),"50%",IF(AND(R95="Preventivo",S95="Manual"),"40%",IF(AND(R95="Detectivo",S95="Automático"),"40%",IF(AND(R95="Detectivo",S95="Manual"),"30%",IF(AND(R95="Correctivo",S95="Automático"),"35%",IF(AND(R95="Correctivo",S95="Manual"),"25%",""))))))</f>
        <v>35%</v>
      </c>
      <c r="U95" s="126" t="s">
        <v>17</v>
      </c>
      <c r="V95" s="126" t="s">
        <v>20</v>
      </c>
      <c r="W95" s="126" t="s">
        <v>117</v>
      </c>
      <c r="X95" s="128">
        <f>IFERROR(IF(Q95="Probabilidad",(I95-(+I95*T95)),IF(Q95="Impacto",I95,"")),"")</f>
        <v>0.2</v>
      </c>
      <c r="Y95" s="129" t="str">
        <f t="shared" ref="Y95:Y109" si="110">IFERROR(IF(X95="","",IF(X95&lt;=0.2,"Muy Baja",IF(X95&lt;=0.4,"Baja",IF(X95&lt;=0.6,"Media",IF(X95&lt;=0.8,"Alta","Muy Alta"))))),"")</f>
        <v>Muy Baja</v>
      </c>
      <c r="Z95" s="130">
        <f t="shared" ref="Z95:Z109" si="111">+X95</f>
        <v>0.2</v>
      </c>
      <c r="AA95" s="129" t="str">
        <f>IFERROR(IF(AB95="","",IF(AB95&lt;=0.2,"Leve",IF(AB95&lt;=0.4,"Menor",IF(AB95&lt;=0.6,"Moderado",IF(AB95&lt;=0.8,"Mayor","Catastrófico"))))),"")</f>
        <v>Mayor</v>
      </c>
      <c r="AB95" s="130">
        <f>IFERROR(IF(Q95="Impacto",(M95-(+M95*T95)),IF(Q95="Probabilidad",M95,"")),"")</f>
        <v>0.65</v>
      </c>
      <c r="AC95" s="131" t="str">
        <f>IFERROR(IF(OR(AND(Y95="Muy Baja",AA95="Leve"),AND(Y95="Muy Baja",AA95="Menor"),AND(Y95="Baja",AA95="Leve")),"Bajo",IF(OR(AND(Y95="Muy baja",AA95="Moderado"),AND(Y95="Baja",AA95="Menor"),AND(Y95="Baja",AA95="Moderado"),AND(Y95="Media",AA95="Leve"),AND(Y95="Media",AA95="Menor"),AND(Y95="Media",AA95="Moderado"),AND(Y95="Alta",AA95="Leve"),AND(Y95="Alta",AA95="Menor")),"Moderado",IF(OR(AND(Y95="Muy Baja",AA95="Mayor"),AND(Y95="Baja",AA95="Mayor"),AND(Y95="Media",AA95="Mayor"),AND(Y95="Alta",AA95="Moderado"),AND(Y95="Alta",AA95="Mayor"),AND(Y95="Muy Alta",AA95="Leve"),AND(Y95="Muy Alta",AA95="Menor"),AND(Y95="Muy Alta",AA95="Moderado"),AND(Y95="Muy Alta",AA95="Mayor")),"Alto",IF(OR(AND(Y95="Muy Baja",AA95="Catastrófico"),AND(Y95="Baja",AA95="Catastrófico"),AND(Y95="Media",AA95="Catastrófico"),AND(Y95="Alta",AA95="Catastrófico"),AND(Y95="Muy Alta",AA95="Catastrófico")),"Extremo","")))),"")</f>
        <v>Alto</v>
      </c>
      <c r="AD95" s="132" t="s">
        <v>134</v>
      </c>
      <c r="AE95" s="133" t="s">
        <v>331</v>
      </c>
      <c r="AF95" s="134"/>
      <c r="AG95" s="135"/>
      <c r="AH95" s="135"/>
      <c r="AI95" s="133"/>
      <c r="AJ95" s="134"/>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row>
    <row r="96" spans="1:68" ht="151.5" customHeight="1" x14ac:dyDescent="0.15">
      <c r="A96" s="196"/>
      <c r="B96" s="199"/>
      <c r="C96" s="199"/>
      <c r="D96" s="199"/>
      <c r="E96" s="202"/>
      <c r="F96" s="199"/>
      <c r="G96" s="205"/>
      <c r="H96" s="190"/>
      <c r="I96" s="187"/>
      <c r="J96" s="184"/>
      <c r="K96" s="187">
        <f>IF(NOT(ISERROR(MATCH(J96,_xlfn.ANCHORARRAY(E278),0))),I280&amp;"Por favor no seleccionar los criterios de impacto",J96)</f>
        <v>0</v>
      </c>
      <c r="L96" s="190"/>
      <c r="M96" s="187"/>
      <c r="N96" s="193"/>
      <c r="O96" s="123">
        <v>2</v>
      </c>
      <c r="P96" s="124" t="s">
        <v>269</v>
      </c>
      <c r="Q96" s="125" t="str">
        <f>IF(OR(R96="Preventivo",R96="Detectivo"),"Probabilidad",IF(R96="Correctivo","Impacto",""))</f>
        <v>Impacto</v>
      </c>
      <c r="R96" s="126" t="s">
        <v>14</v>
      </c>
      <c r="S96" s="126" t="s">
        <v>9</v>
      </c>
      <c r="T96" s="127" t="str">
        <f t="shared" ref="T96:T99" si="112">IF(AND(R96="Preventivo",S96="Automático"),"50%",IF(AND(R96="Preventivo",S96="Manual"),"40%",IF(AND(R96="Detectivo",S96="Automático"),"40%",IF(AND(R96="Detectivo",S96="Manual"),"30%",IF(AND(R96="Correctivo",S96="Automático"),"35%",IF(AND(R96="Correctivo",S96="Manual"),"25%",""))))))</f>
        <v>35%</v>
      </c>
      <c r="U96" s="126" t="s">
        <v>17</v>
      </c>
      <c r="V96" s="126" t="s">
        <v>20</v>
      </c>
      <c r="W96" s="126" t="s">
        <v>117</v>
      </c>
      <c r="X96" s="128">
        <f>IFERROR(IF(AND(Q95="Probabilidad",Q96="Probabilidad"),(Z95-(+Z95*T96)),IF(Q96="Probabilidad",(I95-(+I95*T96)),IF(Q96="Impacto",Z95,""))),"")</f>
        <v>0.2</v>
      </c>
      <c r="Y96" s="129" t="str">
        <f t="shared" si="110"/>
        <v>Muy Baja</v>
      </c>
      <c r="Z96" s="130">
        <f t="shared" si="111"/>
        <v>0.2</v>
      </c>
      <c r="AA96" s="129" t="str">
        <f t="shared" ref="AA96:AA99" si="113">IFERROR(IF(AB96="","",IF(AB96&lt;=0.2,"Leve",IF(AB96&lt;=0.4,"Menor",IF(AB96&lt;=0.6,"Moderado",IF(AB96&lt;=0.8,"Mayor","Catastrófico"))))),"")</f>
        <v>Moderado</v>
      </c>
      <c r="AB96" s="130">
        <f>IFERROR(IF(AND(Q95="Impacto",Q96="Impacto"),(AB95-(+AB95*T96)),IF(Q96="Impacto",(M95-(+M95*T96)),IF(Q96="Probabilidad",AB95,""))),"")</f>
        <v>0.42250000000000004</v>
      </c>
      <c r="AC96" s="131" t="str">
        <f t="shared" ref="AC96" si="114">IFERROR(IF(OR(AND(Y96="Muy Baja",AA96="Leve"),AND(Y96="Muy Baja",AA96="Menor"),AND(Y96="Baja",AA96="Leve")),"Bajo",IF(OR(AND(Y96="Muy baja",AA96="Moderado"),AND(Y96="Baja",AA96="Menor"),AND(Y96="Baja",AA96="Moderado"),AND(Y96="Media",AA96="Leve"),AND(Y96="Media",AA96="Menor"),AND(Y96="Media",AA96="Moderado"),AND(Y96="Alta",AA96="Leve"),AND(Y96="Alta",AA96="Menor")),"Moderado",IF(OR(AND(Y96="Muy Baja",AA96="Mayor"),AND(Y96="Baja",AA96="Mayor"),AND(Y96="Media",AA96="Mayor"),AND(Y96="Alta",AA96="Moderado"),AND(Y96="Alta",AA96="Mayor"),AND(Y96="Muy Alta",AA96="Leve"),AND(Y96="Muy Alta",AA96="Menor"),AND(Y96="Muy Alta",AA96="Moderado"),AND(Y96="Muy Alta",AA96="Mayor")),"Alto",IF(OR(AND(Y96="Muy Baja",AA96="Catastrófico"),AND(Y96="Baja",AA96="Catastrófico"),AND(Y96="Media",AA96="Catastrófico"),AND(Y96="Alta",AA96="Catastrófico"),AND(Y96="Muy Alta",AA96="Catastrófico")),"Extremo","")))),"")</f>
        <v>Moderado</v>
      </c>
      <c r="AD96" s="132" t="s">
        <v>134</v>
      </c>
      <c r="AE96" s="133"/>
      <c r="AF96" s="134"/>
      <c r="AG96" s="135"/>
      <c r="AH96" s="135"/>
      <c r="AI96" s="133"/>
      <c r="AJ96" s="134"/>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row>
    <row r="97" spans="1:68" ht="151.5" customHeight="1" x14ac:dyDescent="0.15">
      <c r="A97" s="196"/>
      <c r="B97" s="199"/>
      <c r="C97" s="199"/>
      <c r="D97" s="199"/>
      <c r="E97" s="202"/>
      <c r="F97" s="199"/>
      <c r="G97" s="205"/>
      <c r="H97" s="190"/>
      <c r="I97" s="187"/>
      <c r="J97" s="184"/>
      <c r="K97" s="187">
        <f>IF(NOT(ISERROR(MATCH(J97,_xlfn.ANCHORARRAY(E279),0))),I281&amp;"Por favor no seleccionar los criterios de impacto",J97)</f>
        <v>0</v>
      </c>
      <c r="L97" s="190"/>
      <c r="M97" s="187"/>
      <c r="N97" s="193"/>
      <c r="O97" s="123">
        <v>3</v>
      </c>
      <c r="P97" s="124" t="s">
        <v>270</v>
      </c>
      <c r="Q97" s="125" t="str">
        <f>IF(OR(R97="Preventivo",R97="Detectivo"),"Probabilidad",IF(R97="Correctivo","Impacto",""))</f>
        <v>Impacto</v>
      </c>
      <c r="R97" s="126" t="s">
        <v>14</v>
      </c>
      <c r="S97" s="126" t="s">
        <v>9</v>
      </c>
      <c r="T97" s="127" t="str">
        <f t="shared" si="112"/>
        <v>35%</v>
      </c>
      <c r="U97" s="126" t="s">
        <v>17</v>
      </c>
      <c r="V97" s="126" t="s">
        <v>20</v>
      </c>
      <c r="W97" s="126" t="s">
        <v>117</v>
      </c>
      <c r="X97" s="128">
        <f>IFERROR(IF(AND(Q96="Probabilidad",Q97="Probabilidad"),(Z96-(+Z96*T97)),IF(AND(Q96="Impacto",Q97="Probabilidad"),(Z95-(+Z95*T97)),IF(Q97="Impacto",Z96,""))),"")</f>
        <v>0.2</v>
      </c>
      <c r="Y97" s="129" t="str">
        <f t="shared" si="110"/>
        <v>Muy Baja</v>
      </c>
      <c r="Z97" s="130">
        <f t="shared" si="111"/>
        <v>0.2</v>
      </c>
      <c r="AA97" s="129" t="str">
        <f t="shared" si="113"/>
        <v>Menor</v>
      </c>
      <c r="AB97" s="130">
        <f>IFERROR(IF(AND(Q96="Impacto",Q97="Impacto"),(AB96-(+AB96*T97)),IF(AND(Q96="Probabilidad",Q97="Impacto"),(AB95-(+AB95*T97)),IF(Q97="Probabilidad",AB96,""))),"")</f>
        <v>0.27462500000000001</v>
      </c>
      <c r="AC97" s="131" t="str">
        <f>IFERROR(IF(OR(AND(Y97="Muy Baja",AA97="Leve"),AND(Y97="Muy Baja",AA97="Menor"),AND(Y97="Baja",AA97="Leve")),"Bajo",IF(OR(AND(Y97="Muy baja",AA97="Moderado"),AND(Y97="Baja",AA97="Menor"),AND(Y97="Baja",AA97="Moderado"),AND(Y97="Media",AA97="Leve"),AND(Y97="Media",AA97="Menor"),AND(Y97="Media",AA97="Moderado"),AND(Y97="Alta",AA97="Leve"),AND(Y97="Alta",AA97="Menor")),"Moderado",IF(OR(AND(Y97="Muy Baja",AA97="Mayor"),AND(Y97="Baja",AA97="Mayor"),AND(Y97="Media",AA97="Mayor"),AND(Y97="Alta",AA97="Moderado"),AND(Y97="Alta",AA97="Mayor"),AND(Y97="Muy Alta",AA97="Leve"),AND(Y97="Muy Alta",AA97="Menor"),AND(Y97="Muy Alta",AA97="Moderado"),AND(Y97="Muy Alta",AA97="Mayor")),"Alto",IF(OR(AND(Y97="Muy Baja",AA97="Catastrófico"),AND(Y97="Baja",AA97="Catastrófico"),AND(Y97="Media",AA97="Catastrófico"),AND(Y97="Alta",AA97="Catastrófico"),AND(Y97="Muy Alta",AA97="Catastrófico")),"Extremo","")))),"")</f>
        <v>Bajo</v>
      </c>
      <c r="AD97" s="132" t="s">
        <v>134</v>
      </c>
      <c r="AE97" s="133"/>
      <c r="AF97" s="134"/>
      <c r="AG97" s="135"/>
      <c r="AH97" s="135"/>
      <c r="AI97" s="133"/>
      <c r="AJ97" s="134"/>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row>
    <row r="98" spans="1:68" ht="151.5" customHeight="1" x14ac:dyDescent="0.15">
      <c r="A98" s="196"/>
      <c r="B98" s="199"/>
      <c r="C98" s="199"/>
      <c r="D98" s="199"/>
      <c r="E98" s="202"/>
      <c r="F98" s="199"/>
      <c r="G98" s="205"/>
      <c r="H98" s="190"/>
      <c r="I98" s="187"/>
      <c r="J98" s="184"/>
      <c r="K98" s="187">
        <f>IF(NOT(ISERROR(MATCH(J98,_xlfn.ANCHORARRAY(E280),0))),I282&amp;"Por favor no seleccionar los criterios de impacto",J98)</f>
        <v>0</v>
      </c>
      <c r="L98" s="190"/>
      <c r="M98" s="187"/>
      <c r="N98" s="193"/>
      <c r="O98" s="123">
        <v>4</v>
      </c>
      <c r="P98" s="124"/>
      <c r="Q98" s="125" t="str">
        <f t="shared" ref="Q98:Q99" si="115">IF(OR(R98="Preventivo",R98="Detectivo"),"Probabilidad",IF(R98="Correctivo","Impacto",""))</f>
        <v/>
      </c>
      <c r="R98" s="126"/>
      <c r="S98" s="126"/>
      <c r="T98" s="127" t="str">
        <f t="shared" si="112"/>
        <v/>
      </c>
      <c r="U98" s="126"/>
      <c r="V98" s="126"/>
      <c r="W98" s="126"/>
      <c r="X98" s="128" t="str">
        <f>IFERROR(IF(AND(Q97="Probabilidad",Q98="Probabilidad"),(Z97-(+Z97*T98)),IF(AND(Q97="Impacto",Q98="Probabilidad"),(Z96-(+Z96*T98)),IF(Q98="Impacto",Z97,""))),"")</f>
        <v/>
      </c>
      <c r="Y98" s="129" t="str">
        <f t="shared" si="110"/>
        <v/>
      </c>
      <c r="Z98" s="130" t="str">
        <f t="shared" si="111"/>
        <v/>
      </c>
      <c r="AA98" s="129" t="str">
        <f t="shared" si="113"/>
        <v/>
      </c>
      <c r="AB98" s="130" t="str">
        <f>IFERROR(IF(AND(Q97="Impacto",Q98="Impacto"),(AB97-(+AB97*T98)),IF(AND(Q97="Probabilidad",Q98="Impacto"),(AB96-(+AB96*T98)),IF(Q98="Probabilidad",AB97,""))),"")</f>
        <v/>
      </c>
      <c r="AC98" s="131" t="str">
        <f>IFERROR(IF(OR(AND(Y98="Muy Baja",AA98="Leve"),AND(Y98="Muy Baja",AA98="Menor"),AND(Y98="Baja",AA98="Leve")),"Bajo",IF(OR(AND(Y98="Muy baja",AA98="Moderado"),AND(Y98="Baja",AA98="Menor"),AND(Y98="Baja",AA98="Moderado"),AND(Y98="Media",AA98="Leve"),AND(Y98="Media",AA98="Menor"),AND(Y98="Media",AA98="Moderado"),AND(Y98="Alta",AA98="Leve"),AND(Y98="Alta",AA98="Menor")),"Moderado",IF(OR(AND(Y98="Muy Baja",AA98="Mayor"),AND(Y98="Baja",AA98="Mayor"),AND(Y98="Media",AA98="Mayor"),AND(Y98="Alta",AA98="Moderado"),AND(Y98="Alta",AA98="Mayor"),AND(Y98="Muy Alta",AA98="Leve"),AND(Y98="Muy Alta",AA98="Menor"),AND(Y98="Muy Alta",AA98="Moderado"),AND(Y98="Muy Alta",AA98="Mayor")),"Alto",IF(OR(AND(Y98="Muy Baja",AA98="Catastrófico"),AND(Y98="Baja",AA98="Catastrófico"),AND(Y98="Media",AA98="Catastrófico"),AND(Y98="Alta",AA98="Catastrófico"),AND(Y98="Muy Alta",AA98="Catastrófico")),"Extremo","")))),"")</f>
        <v/>
      </c>
      <c r="AD98" s="132"/>
      <c r="AE98" s="133"/>
      <c r="AF98" s="134"/>
      <c r="AG98" s="135"/>
      <c r="AH98" s="135"/>
      <c r="AI98" s="133"/>
      <c r="AJ98" s="134"/>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row>
    <row r="99" spans="1:68" ht="151.5" customHeight="1" x14ac:dyDescent="0.15">
      <c r="A99" s="196"/>
      <c r="B99" s="199"/>
      <c r="C99" s="199"/>
      <c r="D99" s="199"/>
      <c r="E99" s="202"/>
      <c r="F99" s="199"/>
      <c r="G99" s="205"/>
      <c r="H99" s="190"/>
      <c r="I99" s="187"/>
      <c r="J99" s="184"/>
      <c r="K99" s="187">
        <f>IF(NOT(ISERROR(MATCH(J99,_xlfn.ANCHORARRAY(E281),0))),I283&amp;"Por favor no seleccionar los criterios de impacto",J99)</f>
        <v>0</v>
      </c>
      <c r="L99" s="190"/>
      <c r="M99" s="187"/>
      <c r="N99" s="193"/>
      <c r="O99" s="123">
        <v>5</v>
      </c>
      <c r="P99" s="124"/>
      <c r="Q99" s="125" t="str">
        <f t="shared" si="115"/>
        <v/>
      </c>
      <c r="R99" s="126"/>
      <c r="S99" s="126"/>
      <c r="T99" s="127" t="str">
        <f t="shared" si="112"/>
        <v/>
      </c>
      <c r="U99" s="126"/>
      <c r="V99" s="126"/>
      <c r="W99" s="126"/>
      <c r="X99" s="128" t="str">
        <f>IFERROR(IF(AND(Q98="Probabilidad",Q99="Probabilidad"),(Z98-(+Z98*T99)),IF(AND(Q98="Impacto",Q99="Probabilidad"),(Z97-(+Z97*T99)),IF(Q99="Impacto",Z98,""))),"")</f>
        <v/>
      </c>
      <c r="Y99" s="129" t="str">
        <f t="shared" si="110"/>
        <v/>
      </c>
      <c r="Z99" s="130" t="str">
        <f t="shared" si="111"/>
        <v/>
      </c>
      <c r="AA99" s="129" t="str">
        <f t="shared" si="113"/>
        <v/>
      </c>
      <c r="AB99" s="130" t="str">
        <f>IFERROR(IF(AND(Q98="Impacto",Q99="Impacto"),(AB98-(+AB98*T99)),IF(AND(Q98="Probabilidad",Q99="Impacto"),(AB97-(+AB97*T99)),IF(Q99="Probabilidad",AB98,""))),"")</f>
        <v/>
      </c>
      <c r="AC99" s="131" t="str">
        <f t="shared" ref="AC99" si="116">IFERROR(IF(OR(AND(Y99="Muy Baja",AA99="Leve"),AND(Y99="Muy Baja",AA99="Menor"),AND(Y99="Baja",AA99="Leve")),"Bajo",IF(OR(AND(Y99="Muy baja",AA99="Moderado"),AND(Y99="Baja",AA99="Menor"),AND(Y99="Baja",AA99="Moderado"),AND(Y99="Media",AA99="Leve"),AND(Y99="Media",AA99="Menor"),AND(Y99="Media",AA99="Moderado"),AND(Y99="Alta",AA99="Leve"),AND(Y99="Alta",AA99="Menor")),"Moderado",IF(OR(AND(Y99="Muy Baja",AA99="Mayor"),AND(Y99="Baja",AA99="Mayor"),AND(Y99="Media",AA99="Mayor"),AND(Y99="Alta",AA99="Moderado"),AND(Y99="Alta",AA99="Mayor"),AND(Y99="Muy Alta",AA99="Leve"),AND(Y99="Muy Alta",AA99="Menor"),AND(Y99="Muy Alta",AA99="Moderado"),AND(Y99="Muy Alta",AA99="Mayor")),"Alto",IF(OR(AND(Y99="Muy Baja",AA99="Catastrófico"),AND(Y99="Baja",AA99="Catastrófico"),AND(Y99="Media",AA99="Catastrófico"),AND(Y99="Alta",AA99="Catastrófico"),AND(Y99="Muy Alta",AA99="Catastrófico")),"Extremo","")))),"")</f>
        <v/>
      </c>
      <c r="AD99" s="132"/>
      <c r="AE99" s="133"/>
      <c r="AF99" s="134"/>
      <c r="AG99" s="135"/>
      <c r="AH99" s="135"/>
      <c r="AI99" s="133"/>
      <c r="AJ99" s="134"/>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row>
    <row r="100" spans="1:68" ht="151.5" customHeight="1" x14ac:dyDescent="0.15">
      <c r="A100" s="197"/>
      <c r="B100" s="200"/>
      <c r="C100" s="200"/>
      <c r="D100" s="200"/>
      <c r="E100" s="203"/>
      <c r="F100" s="200"/>
      <c r="G100" s="206"/>
      <c r="H100" s="191"/>
      <c r="I100" s="188"/>
      <c r="J100" s="185"/>
      <c r="K100" s="188">
        <f>IF(NOT(ISERROR(MATCH(J100,_xlfn.ANCHORARRAY(E282),0))),I284&amp;"Por favor no seleccionar los criterios de impacto",J100)</f>
        <v>0</v>
      </c>
      <c r="L100" s="191"/>
      <c r="M100" s="188"/>
      <c r="N100" s="194"/>
      <c r="O100" s="123">
        <v>6</v>
      </c>
      <c r="P100" s="124"/>
      <c r="Q100" s="125" t="str">
        <f t="shared" ref="Q100" si="117">IF(OR(R100="Preventivo",R100="Detectivo"),"Probabilidad",IF(R100="Correctivo","Impacto",""))</f>
        <v/>
      </c>
      <c r="R100" s="126"/>
      <c r="S100" s="126"/>
      <c r="T100" s="127" t="str">
        <f t="shared" ref="T100" si="118">IF(AND(R100="Preventivo",S100="Automático"),"50%",IF(AND(R100="Preventivo",S100="Manual"),"40%",IF(AND(R100="Detectivo",S100="Automático"),"40%",IF(AND(R100="Detectivo",S100="Manual"),"30%",IF(AND(R100="Correctivo",S100="Automático"),"35%",IF(AND(R100="Correctivo",S100="Manual"),"25%",""))))))</f>
        <v/>
      </c>
      <c r="U100" s="126"/>
      <c r="V100" s="126"/>
      <c r="W100" s="126"/>
      <c r="X100" s="128" t="str">
        <f>IFERROR(IF(AND(Q99="Probabilidad",Q100="Probabilidad"),(Z99-(+Z99*T100)),IF(AND(Q99="Impacto",Q100="Probabilidad"),(Z98-(+Z98*T100)),IF(Q100="Impacto",Z99,""))),"")</f>
        <v/>
      </c>
      <c r="Y100" s="129" t="str">
        <f t="shared" si="110"/>
        <v/>
      </c>
      <c r="Z100" s="130" t="str">
        <f t="shared" si="111"/>
        <v/>
      </c>
      <c r="AA100" s="129" t="str">
        <f t="shared" ref="AA100" si="119">IFERROR(IF(AB100="","",IF(AB100&lt;=0.2,"Leve",IF(AB100&lt;=0.4,"Menor",IF(AB100&lt;=0.6,"Moderado",IF(AB100&lt;=0.8,"Mayor","Catastrófico"))))),"")</f>
        <v/>
      </c>
      <c r="AB100" s="130" t="str">
        <f>IFERROR(IF(AND(Q99="Impacto",Q100="Impacto"),(AB99-(+AB99*T100)),IF(AND(Q99="Probabilidad",Q100="Impacto"),(AB98-(+AB98*T100)),IF(Q100="Probabilidad",AB99,""))),"")</f>
        <v/>
      </c>
      <c r="AC100" s="131" t="str">
        <f t="shared" ref="AC100" si="120">IFERROR(IF(OR(AND(Y100="Muy Baja",AA100="Leve"),AND(Y100="Muy Baja",AA100="Menor"),AND(Y100="Baja",AA100="Leve")),"Bajo",IF(OR(AND(Y100="Muy baja",AA100="Moderado"),AND(Y100="Baja",AA100="Menor"),AND(Y100="Baja",AA100="Moderado"),AND(Y100="Media",AA100="Leve"),AND(Y100="Media",AA100="Menor"),AND(Y100="Media",AA100="Moderado"),AND(Y100="Alta",AA100="Leve"),AND(Y100="Alta",AA100="Menor")),"Moderado",IF(OR(AND(Y100="Muy Baja",AA100="Mayor"),AND(Y100="Baja",AA100="Mayor"),AND(Y100="Media",AA100="Mayor"),AND(Y100="Alta",AA100="Moderado"),AND(Y100="Alta",AA100="Mayor"),AND(Y100="Muy Alta",AA100="Leve"),AND(Y100="Muy Alta",AA100="Menor"),AND(Y100="Muy Alta",AA100="Moderado"),AND(Y100="Muy Alta",AA100="Mayor")),"Alto",IF(OR(AND(Y100="Muy Baja",AA100="Catastrófico"),AND(Y100="Baja",AA100="Catastrófico"),AND(Y100="Media",AA100="Catastrófico"),AND(Y100="Alta",AA100="Catastrófico"),AND(Y100="Muy Alta",AA100="Catastrófico")),"Extremo","")))),"")</f>
        <v/>
      </c>
      <c r="AD100" s="132"/>
      <c r="AE100" s="133"/>
      <c r="AF100" s="134"/>
      <c r="AG100" s="135"/>
      <c r="AH100" s="135"/>
      <c r="AI100" s="133"/>
      <c r="AJ100" s="134"/>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row>
    <row r="101" spans="1:68" ht="151.5" customHeight="1" x14ac:dyDescent="0.15">
      <c r="A101" s="195">
        <f>+A95+1</f>
        <v>16</v>
      </c>
      <c r="B101" s="198" t="s">
        <v>131</v>
      </c>
      <c r="C101" s="198" t="s">
        <v>272</v>
      </c>
      <c r="D101" s="198"/>
      <c r="E101" s="201" t="s">
        <v>271</v>
      </c>
      <c r="F101" s="198" t="s">
        <v>121</v>
      </c>
      <c r="G101" s="204">
        <v>2</v>
      </c>
      <c r="H101" s="189" t="str">
        <f>IF(G101&lt;=0,"",IF(G101&lt;=2,"Muy Baja",IF(G101&lt;=24,"Baja",IF(G101&lt;=500,"Media",IF(G101&lt;=5000,"Alta","Muy Alta")))))</f>
        <v>Muy Baja</v>
      </c>
      <c r="I101" s="186">
        <f>IF(H101="","",IF(H101="Muy Baja",0.2,IF(H101="Baja",0.4,IF(H101="Media",0.6,IF(H101="Alta",0.8,IF(H101="Muy Alta",1,))))))</f>
        <v>0.2</v>
      </c>
      <c r="J101" s="183" t="s">
        <v>150</v>
      </c>
      <c r="K101" s="186" t="str">
        <f>IF(NOT(ISERROR(MATCH(J101,'Tabla Impacto'!$B$221:$B$223,0))),'Tabla Impacto'!$F$223&amp;"Por favor no seleccionar los criterios de impacto(Afectación Económica o presupuestal y Pérdida Reputacional)",J101)</f>
        <v xml:space="preserve">     Mayor a 500 SMLMV </v>
      </c>
      <c r="L101" s="189" t="str">
        <f>IF(OR(K101='Tabla Impacto'!$C$11,K101='Tabla Impacto'!$D$11),"Leve",IF(OR(K101='Tabla Impacto'!$C$12,K101='Tabla Impacto'!$D$12),"Menor",IF(OR(K101='Tabla Impacto'!$C$13,K101='Tabla Impacto'!$D$13),"Moderado",IF(OR(K101='Tabla Impacto'!$C$14,K101='Tabla Impacto'!$D$14),"Mayor",IF(OR(K101='Tabla Impacto'!$C$15,K101='Tabla Impacto'!$D$15),"Catastrófico","")))))</f>
        <v>Catastrófico</v>
      </c>
      <c r="M101" s="186">
        <f>IF(L101="","",IF(L101="Leve",0.2,IF(L101="Menor",0.4,IF(L101="Moderado",0.6,IF(L101="Mayor",0.8,IF(L101="Catastrófico",1,))))))</f>
        <v>1</v>
      </c>
      <c r="N101" s="192" t="str">
        <f>IF(OR(AND(H101="Muy Baja",L101="Leve"),AND(H101="Muy Baja",L101="Menor"),AND(H101="Baja",L101="Leve")),"Bajo",IF(OR(AND(H101="Muy baja",L101="Moderado"),AND(H101="Baja",L101="Menor"),AND(H101="Baja",L101="Moderado"),AND(H101="Media",L101="Leve"),AND(H101="Media",L101="Menor"),AND(H101="Media",L101="Moderado"),AND(H101="Alta",L101="Leve"),AND(H101="Alta",L101="Menor")),"Moderado",IF(OR(AND(H101="Muy Baja",L101="Mayor"),AND(H101="Baja",L101="Mayor"),AND(H101="Media",L101="Mayor"),AND(H101="Alta",L101="Moderado"),AND(H101="Alta",L101="Mayor"),AND(H101="Muy Alta",L101="Leve"),AND(H101="Muy Alta",L101="Menor"),AND(H101="Muy Alta",L101="Moderado"),AND(H101="Muy Alta",L101="Mayor")),"Alto",IF(OR(AND(H101="Muy Baja",L101="Catastrófico"),AND(H101="Baja",L101="Catastrófico"),AND(H101="Media",L101="Catastrófico"),AND(H101="Alta",L101="Catastrófico"),AND(H101="Muy Alta",L101="Catastrófico")),"Extremo",""))))</f>
        <v>Extremo</v>
      </c>
      <c r="O101" s="123">
        <v>1</v>
      </c>
      <c r="P101" s="124" t="s">
        <v>273</v>
      </c>
      <c r="Q101" s="125" t="str">
        <f>IF(OR(R101="Preventivo",R101="Detectivo"),"Probabilidad",IF(R101="Correctivo","Impacto",""))</f>
        <v>Impacto</v>
      </c>
      <c r="R101" s="126" t="s">
        <v>14</v>
      </c>
      <c r="S101" s="126" t="s">
        <v>9</v>
      </c>
      <c r="T101" s="127" t="str">
        <f>IF(AND(R101="Preventivo",S101="Automático"),"50%",IF(AND(R101="Preventivo",S101="Manual"),"40%",IF(AND(R101="Detectivo",S101="Automático"),"40%",IF(AND(R101="Detectivo",S101="Manual"),"30%",IF(AND(R101="Correctivo",S101="Automático"),"35%",IF(AND(R101="Correctivo",S101="Manual"),"25%",""))))))</f>
        <v>35%</v>
      </c>
      <c r="U101" s="126" t="s">
        <v>17</v>
      </c>
      <c r="V101" s="126" t="s">
        <v>20</v>
      </c>
      <c r="W101" s="126" t="s">
        <v>117</v>
      </c>
      <c r="X101" s="128">
        <f>IFERROR(IF(Q101="Probabilidad",(I101-(+I101*T101)),IF(Q101="Impacto",I101,"")),"")</f>
        <v>0.2</v>
      </c>
      <c r="Y101" s="129" t="str">
        <f t="shared" si="110"/>
        <v>Muy Baja</v>
      </c>
      <c r="Z101" s="130">
        <f t="shared" si="111"/>
        <v>0.2</v>
      </c>
      <c r="AA101" s="129" t="str">
        <f>IFERROR(IF(AB101="","",IF(AB101&lt;=0.2,"Leve",IF(AB101&lt;=0.4,"Menor",IF(AB101&lt;=0.6,"Moderado",IF(AB101&lt;=0.8,"Mayor","Catastrófico"))))),"")</f>
        <v>Mayor</v>
      </c>
      <c r="AB101" s="130">
        <f>IFERROR(IF(Q101="Impacto",(M101-(+M101*T101)),IF(Q101="Probabilidad",M101,"")),"")</f>
        <v>0.65</v>
      </c>
      <c r="AC101" s="131" t="str">
        <f>IFERROR(IF(OR(AND(Y101="Muy Baja",AA101="Leve"),AND(Y101="Muy Baja",AA101="Menor"),AND(Y101="Baja",AA101="Leve")),"Bajo",IF(OR(AND(Y101="Muy baja",AA101="Moderado"),AND(Y101="Baja",AA101="Menor"),AND(Y101="Baja",AA101="Moderado"),AND(Y101="Media",AA101="Leve"),AND(Y101="Media",AA101="Menor"),AND(Y101="Media",AA101="Moderado"),AND(Y101="Alta",AA101="Leve"),AND(Y101="Alta",AA101="Menor")),"Moderado",IF(OR(AND(Y101="Muy Baja",AA101="Mayor"),AND(Y101="Baja",AA101="Mayor"),AND(Y101="Media",AA101="Mayor"),AND(Y101="Alta",AA101="Moderado"),AND(Y101="Alta",AA101="Mayor"),AND(Y101="Muy Alta",AA101="Leve"),AND(Y101="Muy Alta",AA101="Menor"),AND(Y101="Muy Alta",AA101="Moderado"),AND(Y101="Muy Alta",AA101="Mayor")),"Alto",IF(OR(AND(Y101="Muy Baja",AA101="Catastrófico"),AND(Y101="Baja",AA101="Catastrófico"),AND(Y101="Media",AA101="Catastrófico"),AND(Y101="Alta",AA101="Catastrófico"),AND(Y101="Muy Alta",AA101="Catastrófico")),"Extremo","")))),"")</f>
        <v>Alto</v>
      </c>
      <c r="AD101" s="132" t="s">
        <v>134</v>
      </c>
      <c r="AE101" s="133" t="s">
        <v>332</v>
      </c>
      <c r="AF101" s="134"/>
      <c r="AG101" s="135"/>
      <c r="AH101" s="135"/>
      <c r="AI101" s="133"/>
      <c r="AJ101" s="134"/>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row>
    <row r="102" spans="1:68" ht="151.5" customHeight="1" x14ac:dyDescent="0.15">
      <c r="A102" s="196"/>
      <c r="B102" s="199"/>
      <c r="C102" s="199"/>
      <c r="D102" s="199"/>
      <c r="E102" s="202"/>
      <c r="F102" s="199"/>
      <c r="G102" s="205"/>
      <c r="H102" s="190"/>
      <c r="I102" s="187"/>
      <c r="J102" s="184"/>
      <c r="K102" s="187">
        <f>IF(NOT(ISERROR(MATCH(J102,_xlfn.ANCHORARRAY(E284),0))),I286&amp;"Por favor no seleccionar los criterios de impacto",J102)</f>
        <v>0</v>
      </c>
      <c r="L102" s="190"/>
      <c r="M102" s="187"/>
      <c r="N102" s="193"/>
      <c r="O102" s="123">
        <v>2</v>
      </c>
      <c r="P102" s="124"/>
      <c r="Q102" s="125" t="str">
        <f>IF(OR(R102="Preventivo",R102="Detectivo"),"Probabilidad",IF(R102="Correctivo","Impacto",""))</f>
        <v/>
      </c>
      <c r="R102" s="126"/>
      <c r="S102" s="126"/>
      <c r="T102" s="127" t="str">
        <f t="shared" ref="T102:T106" si="121">IF(AND(R102="Preventivo",S102="Automático"),"50%",IF(AND(R102="Preventivo",S102="Manual"),"40%",IF(AND(R102="Detectivo",S102="Automático"),"40%",IF(AND(R102="Detectivo",S102="Manual"),"30%",IF(AND(R102="Correctivo",S102="Automático"),"35%",IF(AND(R102="Correctivo",S102="Manual"),"25%",""))))))</f>
        <v/>
      </c>
      <c r="U102" s="126"/>
      <c r="V102" s="126"/>
      <c r="W102" s="126"/>
      <c r="X102" s="128" t="str">
        <f>IFERROR(IF(AND(Q101="Probabilidad",Q102="Probabilidad"),(Z101-(+Z101*T102)),IF(Q102="Probabilidad",(I101-(+I101*T102)),IF(Q102="Impacto",Z101,""))),"")</f>
        <v/>
      </c>
      <c r="Y102" s="129" t="str">
        <f t="shared" si="110"/>
        <v/>
      </c>
      <c r="Z102" s="130" t="str">
        <f t="shared" si="111"/>
        <v/>
      </c>
      <c r="AA102" s="129" t="str">
        <f t="shared" ref="AA102:AA106" si="122">IFERROR(IF(AB102="","",IF(AB102&lt;=0.2,"Leve",IF(AB102&lt;=0.4,"Menor",IF(AB102&lt;=0.6,"Moderado",IF(AB102&lt;=0.8,"Mayor","Catastrófico"))))),"")</f>
        <v/>
      </c>
      <c r="AB102" s="130" t="str">
        <f>IFERROR(IF(AND(Q101="Impacto",Q102="Impacto"),(AB101-(+AB101*T102)),IF(Q102="Impacto",(M101-(+M101*T102)),IF(Q102="Probabilidad",AB101,""))),"")</f>
        <v/>
      </c>
      <c r="AC102" s="131" t="str">
        <f t="shared" ref="AC102" si="123">IFERROR(IF(OR(AND(Y102="Muy Baja",AA102="Leve"),AND(Y102="Muy Baja",AA102="Menor"),AND(Y102="Baja",AA102="Leve")),"Bajo",IF(OR(AND(Y102="Muy baja",AA102="Moderado"),AND(Y102="Baja",AA102="Menor"),AND(Y102="Baja",AA102="Moderado"),AND(Y102="Media",AA102="Leve"),AND(Y102="Media",AA102="Menor"),AND(Y102="Media",AA102="Moderado"),AND(Y102="Alta",AA102="Leve"),AND(Y102="Alta",AA102="Menor")),"Moderado",IF(OR(AND(Y102="Muy Baja",AA102="Mayor"),AND(Y102="Baja",AA102="Mayor"),AND(Y102="Media",AA102="Mayor"),AND(Y102="Alta",AA102="Moderado"),AND(Y102="Alta",AA102="Mayor"),AND(Y102="Muy Alta",AA102="Leve"),AND(Y102="Muy Alta",AA102="Menor"),AND(Y102="Muy Alta",AA102="Moderado"),AND(Y102="Muy Alta",AA102="Mayor")),"Alto",IF(OR(AND(Y102="Muy Baja",AA102="Catastrófico"),AND(Y102="Baja",AA102="Catastrófico"),AND(Y102="Media",AA102="Catastrófico"),AND(Y102="Alta",AA102="Catastrófico"),AND(Y102="Muy Alta",AA102="Catastrófico")),"Extremo","")))),"")</f>
        <v/>
      </c>
      <c r="AD102" s="132"/>
      <c r="AE102" s="133"/>
      <c r="AF102" s="134"/>
      <c r="AG102" s="135"/>
      <c r="AH102" s="135"/>
      <c r="AI102" s="133"/>
      <c r="AJ102" s="134"/>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row>
    <row r="103" spans="1:68" ht="151.5" customHeight="1" x14ac:dyDescent="0.15">
      <c r="A103" s="196"/>
      <c r="B103" s="199"/>
      <c r="C103" s="199"/>
      <c r="D103" s="199"/>
      <c r="E103" s="202"/>
      <c r="F103" s="199"/>
      <c r="G103" s="205"/>
      <c r="H103" s="190"/>
      <c r="I103" s="187"/>
      <c r="J103" s="184"/>
      <c r="K103" s="187">
        <f>IF(NOT(ISERROR(MATCH(J103,_xlfn.ANCHORARRAY(E285),0))),I287&amp;"Por favor no seleccionar los criterios de impacto",J103)</f>
        <v>0</v>
      </c>
      <c r="L103" s="190"/>
      <c r="M103" s="187"/>
      <c r="N103" s="193"/>
      <c r="O103" s="123">
        <v>3</v>
      </c>
      <c r="P103" s="136"/>
      <c r="Q103" s="125" t="str">
        <f>IF(OR(R103="Preventivo",R103="Detectivo"),"Probabilidad",IF(R103="Correctivo","Impacto",""))</f>
        <v/>
      </c>
      <c r="R103" s="126"/>
      <c r="S103" s="126"/>
      <c r="T103" s="127" t="str">
        <f t="shared" si="121"/>
        <v/>
      </c>
      <c r="U103" s="126"/>
      <c r="V103" s="126"/>
      <c r="W103" s="126"/>
      <c r="X103" s="128" t="str">
        <f>IFERROR(IF(AND(Q102="Probabilidad",Q103="Probabilidad"),(Z102-(+Z102*T103)),IF(AND(Q102="Impacto",Q103="Probabilidad"),(Z101-(+Z101*T103)),IF(Q103="Impacto",Z102,""))),"")</f>
        <v/>
      </c>
      <c r="Y103" s="129" t="str">
        <f t="shared" si="110"/>
        <v/>
      </c>
      <c r="Z103" s="130" t="str">
        <f t="shared" si="111"/>
        <v/>
      </c>
      <c r="AA103" s="129" t="str">
        <f t="shared" si="122"/>
        <v/>
      </c>
      <c r="AB103" s="130" t="str">
        <f>IFERROR(IF(AND(Q102="Impacto",Q103="Impacto"),(AB102-(+AB102*T103)),IF(AND(Q102="Probabilidad",Q103="Impacto"),(AB101-(+AB101*T103)),IF(Q103="Probabilidad",AB102,""))),"")</f>
        <v/>
      </c>
      <c r="AC103" s="131" t="str">
        <f>IFERROR(IF(OR(AND(Y103="Muy Baja",AA103="Leve"),AND(Y103="Muy Baja",AA103="Menor"),AND(Y103="Baja",AA103="Leve")),"Bajo",IF(OR(AND(Y103="Muy baja",AA103="Moderado"),AND(Y103="Baja",AA103="Menor"),AND(Y103="Baja",AA103="Moderado"),AND(Y103="Media",AA103="Leve"),AND(Y103="Media",AA103="Menor"),AND(Y103="Media",AA103="Moderado"),AND(Y103="Alta",AA103="Leve"),AND(Y103="Alta",AA103="Menor")),"Moderado",IF(OR(AND(Y103="Muy Baja",AA103="Mayor"),AND(Y103="Baja",AA103="Mayor"),AND(Y103="Media",AA103="Mayor"),AND(Y103="Alta",AA103="Moderado"),AND(Y103="Alta",AA103="Mayor"),AND(Y103="Muy Alta",AA103="Leve"),AND(Y103="Muy Alta",AA103="Menor"),AND(Y103="Muy Alta",AA103="Moderado"),AND(Y103="Muy Alta",AA103="Mayor")),"Alto",IF(OR(AND(Y103="Muy Baja",AA103="Catastrófico"),AND(Y103="Baja",AA103="Catastrófico"),AND(Y103="Media",AA103="Catastrófico"),AND(Y103="Alta",AA103="Catastrófico"),AND(Y103="Muy Alta",AA103="Catastrófico")),"Extremo","")))),"")</f>
        <v/>
      </c>
      <c r="AD103" s="132"/>
      <c r="AE103" s="133"/>
      <c r="AF103" s="134"/>
      <c r="AG103" s="135"/>
      <c r="AH103" s="135"/>
      <c r="AI103" s="133"/>
      <c r="AJ103" s="134"/>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row>
    <row r="104" spans="1:68" ht="151.5" customHeight="1" x14ac:dyDescent="0.15">
      <c r="A104" s="196"/>
      <c r="B104" s="199"/>
      <c r="C104" s="199"/>
      <c r="D104" s="199"/>
      <c r="E104" s="202"/>
      <c r="F104" s="199"/>
      <c r="G104" s="205"/>
      <c r="H104" s="190"/>
      <c r="I104" s="187"/>
      <c r="J104" s="184"/>
      <c r="K104" s="187">
        <f>IF(NOT(ISERROR(MATCH(J104,_xlfn.ANCHORARRAY(E286),0))),I288&amp;"Por favor no seleccionar los criterios de impacto",J104)</f>
        <v>0</v>
      </c>
      <c r="L104" s="190"/>
      <c r="M104" s="187"/>
      <c r="N104" s="193"/>
      <c r="O104" s="123"/>
      <c r="P104" s="124"/>
      <c r="Q104" s="125" t="str">
        <f t="shared" ref="Q104:Q106" si="124">IF(OR(R104="Preventivo",R104="Detectivo"),"Probabilidad",IF(R104="Correctivo","Impacto",""))</f>
        <v/>
      </c>
      <c r="R104" s="126"/>
      <c r="S104" s="126"/>
      <c r="T104" s="127" t="str">
        <f t="shared" si="121"/>
        <v/>
      </c>
      <c r="U104" s="126"/>
      <c r="V104" s="126"/>
      <c r="W104" s="126"/>
      <c r="X104" s="128" t="str">
        <f>IFERROR(IF(AND(Q103="Probabilidad",Q104="Probabilidad"),(Z103-(+Z103*T104)),IF(AND(Q103="Impacto",Q104="Probabilidad"),(Z102-(+Z102*T104)),IF(Q104="Impacto",Z103,""))),"")</f>
        <v/>
      </c>
      <c r="Y104" s="129" t="str">
        <f t="shared" si="110"/>
        <v/>
      </c>
      <c r="Z104" s="130" t="str">
        <f t="shared" si="111"/>
        <v/>
      </c>
      <c r="AA104" s="129" t="str">
        <f t="shared" si="122"/>
        <v/>
      </c>
      <c r="AB104" s="130" t="str">
        <f>IFERROR(IF(AND(Q103="Impacto",Q104="Impacto"),(AB103-(+AB103*T104)),IF(AND(Q103="Probabilidad",Q104="Impacto"),(AB102-(+AB102*T104)),IF(Q104="Probabilidad",AB103,""))),"")</f>
        <v/>
      </c>
      <c r="AC104" s="131" t="str">
        <f>IFERROR(IF(OR(AND(Y104="Muy Baja",AA104="Leve"),AND(Y104="Muy Baja",AA104="Menor"),AND(Y104="Baja",AA104="Leve")),"Bajo",IF(OR(AND(Y104="Muy baja",AA104="Moderado"),AND(Y104="Baja",AA104="Menor"),AND(Y104="Baja",AA104="Moderado"),AND(Y104="Media",AA104="Leve"),AND(Y104="Media",AA104="Menor"),AND(Y104="Media",AA104="Moderado"),AND(Y104="Alta",AA104="Leve"),AND(Y104="Alta",AA104="Menor")),"Moderado",IF(OR(AND(Y104="Muy Baja",AA104="Mayor"),AND(Y104="Baja",AA104="Mayor"),AND(Y104="Media",AA104="Mayor"),AND(Y104="Alta",AA104="Moderado"),AND(Y104="Alta",AA104="Mayor"),AND(Y104="Muy Alta",AA104="Leve"),AND(Y104="Muy Alta",AA104="Menor"),AND(Y104="Muy Alta",AA104="Moderado"),AND(Y104="Muy Alta",AA104="Mayor")),"Alto",IF(OR(AND(Y104="Muy Baja",AA104="Catastrófico"),AND(Y104="Baja",AA104="Catastrófico"),AND(Y104="Media",AA104="Catastrófico"),AND(Y104="Alta",AA104="Catastrófico"),AND(Y104="Muy Alta",AA104="Catastrófico")),"Extremo","")))),"")</f>
        <v/>
      </c>
      <c r="AD104" s="132"/>
      <c r="AE104" s="133"/>
      <c r="AF104" s="134"/>
      <c r="AG104" s="135"/>
      <c r="AH104" s="135"/>
      <c r="AI104" s="133"/>
      <c r="AJ104" s="134"/>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row>
    <row r="105" spans="1:68" ht="151.5" customHeight="1" x14ac:dyDescent="0.15">
      <c r="A105" s="196"/>
      <c r="B105" s="199"/>
      <c r="C105" s="199"/>
      <c r="D105" s="199"/>
      <c r="E105" s="202"/>
      <c r="F105" s="199"/>
      <c r="G105" s="205"/>
      <c r="H105" s="190"/>
      <c r="I105" s="187"/>
      <c r="J105" s="184"/>
      <c r="K105" s="187">
        <f>IF(NOT(ISERROR(MATCH(J105,_xlfn.ANCHORARRAY(E287),0))),I289&amp;"Por favor no seleccionar los criterios de impacto",J105)</f>
        <v>0</v>
      </c>
      <c r="L105" s="190"/>
      <c r="M105" s="187"/>
      <c r="N105" s="193"/>
      <c r="O105" s="123"/>
      <c r="P105" s="124"/>
      <c r="Q105" s="125" t="str">
        <f t="shared" si="124"/>
        <v/>
      </c>
      <c r="R105" s="126"/>
      <c r="S105" s="126"/>
      <c r="T105" s="127" t="str">
        <f t="shared" si="121"/>
        <v/>
      </c>
      <c r="U105" s="126"/>
      <c r="V105" s="126"/>
      <c r="W105" s="126"/>
      <c r="X105" s="128" t="str">
        <f>IFERROR(IF(AND(Q104="Probabilidad",Q105="Probabilidad"),(Z104-(+Z104*T105)),IF(AND(Q104="Impacto",Q105="Probabilidad"),(Z103-(+Z103*T105)),IF(Q105="Impacto",Z104,""))),"")</f>
        <v/>
      </c>
      <c r="Y105" s="129" t="str">
        <f t="shared" si="110"/>
        <v/>
      </c>
      <c r="Z105" s="130" t="str">
        <f t="shared" si="111"/>
        <v/>
      </c>
      <c r="AA105" s="129" t="str">
        <f t="shared" si="122"/>
        <v/>
      </c>
      <c r="AB105" s="130" t="str">
        <f>IFERROR(IF(AND(Q104="Impacto",Q105="Impacto"),(AB104-(+AB104*T105)),IF(AND(Q104="Probabilidad",Q105="Impacto"),(AB103-(+AB103*T105)),IF(Q105="Probabilidad",AB104,""))),"")</f>
        <v/>
      </c>
      <c r="AC105" s="131" t="str">
        <f t="shared" ref="AC105:AC106" si="125">IFERROR(IF(OR(AND(Y105="Muy Baja",AA105="Leve"),AND(Y105="Muy Baja",AA105="Menor"),AND(Y105="Baja",AA105="Leve")),"Bajo",IF(OR(AND(Y105="Muy baja",AA105="Moderado"),AND(Y105="Baja",AA105="Menor"),AND(Y105="Baja",AA105="Moderado"),AND(Y105="Media",AA105="Leve"),AND(Y105="Media",AA105="Menor"),AND(Y105="Media",AA105="Moderado"),AND(Y105="Alta",AA105="Leve"),AND(Y105="Alta",AA105="Menor")),"Moderado",IF(OR(AND(Y105="Muy Baja",AA105="Mayor"),AND(Y105="Baja",AA105="Mayor"),AND(Y105="Media",AA105="Mayor"),AND(Y105="Alta",AA105="Moderado"),AND(Y105="Alta",AA105="Mayor"),AND(Y105="Muy Alta",AA105="Leve"),AND(Y105="Muy Alta",AA105="Menor"),AND(Y105="Muy Alta",AA105="Moderado"),AND(Y105="Muy Alta",AA105="Mayor")),"Alto",IF(OR(AND(Y105="Muy Baja",AA105="Catastrófico"),AND(Y105="Baja",AA105="Catastrófico"),AND(Y105="Media",AA105="Catastrófico"),AND(Y105="Alta",AA105="Catastrófico"),AND(Y105="Muy Alta",AA105="Catastrófico")),"Extremo","")))),"")</f>
        <v/>
      </c>
      <c r="AD105" s="132"/>
      <c r="AE105" s="133"/>
      <c r="AF105" s="134"/>
      <c r="AG105" s="135"/>
      <c r="AH105" s="135"/>
      <c r="AI105" s="133"/>
      <c r="AJ105" s="134"/>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row>
    <row r="106" spans="1:68" ht="151.5" customHeight="1" x14ac:dyDescent="0.15">
      <c r="A106" s="197"/>
      <c r="B106" s="200"/>
      <c r="C106" s="200"/>
      <c r="D106" s="200"/>
      <c r="E106" s="203"/>
      <c r="F106" s="200"/>
      <c r="G106" s="206"/>
      <c r="H106" s="191"/>
      <c r="I106" s="188"/>
      <c r="J106" s="185"/>
      <c r="K106" s="188">
        <f>IF(NOT(ISERROR(MATCH(J106,_xlfn.ANCHORARRAY(E288),0))),I290&amp;"Por favor no seleccionar los criterios de impacto",J106)</f>
        <v>0</v>
      </c>
      <c r="L106" s="191"/>
      <c r="M106" s="188"/>
      <c r="N106" s="194"/>
      <c r="O106" s="123"/>
      <c r="P106" s="124"/>
      <c r="Q106" s="125" t="str">
        <f t="shared" si="124"/>
        <v/>
      </c>
      <c r="R106" s="126"/>
      <c r="S106" s="126"/>
      <c r="T106" s="127" t="str">
        <f t="shared" si="121"/>
        <v/>
      </c>
      <c r="U106" s="126"/>
      <c r="V106" s="126"/>
      <c r="W106" s="126"/>
      <c r="X106" s="128" t="str">
        <f>IFERROR(IF(AND(Q105="Probabilidad",Q106="Probabilidad"),(Z105-(+Z105*T106)),IF(AND(Q105="Impacto",Q106="Probabilidad"),(Z104-(+Z104*T106)),IF(Q106="Impacto",Z105,""))),"")</f>
        <v/>
      </c>
      <c r="Y106" s="129" t="str">
        <f t="shared" si="110"/>
        <v/>
      </c>
      <c r="Z106" s="130" t="str">
        <f t="shared" si="111"/>
        <v/>
      </c>
      <c r="AA106" s="129" t="str">
        <f t="shared" si="122"/>
        <v/>
      </c>
      <c r="AB106" s="130" t="str">
        <f>IFERROR(IF(AND(Q105="Impacto",Q106="Impacto"),(AB105-(+AB105*T106)),IF(AND(Q105="Probabilidad",Q106="Impacto"),(AB104-(+AB104*T106)),IF(Q106="Probabilidad",AB105,""))),"")</f>
        <v/>
      </c>
      <c r="AC106" s="131" t="str">
        <f t="shared" si="125"/>
        <v/>
      </c>
      <c r="AD106" s="132"/>
      <c r="AE106" s="133"/>
      <c r="AF106" s="134"/>
      <c r="AG106" s="135"/>
      <c r="AH106" s="135"/>
      <c r="AI106" s="133"/>
      <c r="AJ106" s="134"/>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row>
    <row r="107" spans="1:68" ht="151.5" customHeight="1" x14ac:dyDescent="0.15">
      <c r="A107" s="195">
        <f>+A101+1</f>
        <v>17</v>
      </c>
      <c r="B107" s="198" t="s">
        <v>131</v>
      </c>
      <c r="C107" s="198" t="s">
        <v>272</v>
      </c>
      <c r="D107" s="198"/>
      <c r="E107" s="201" t="s">
        <v>274</v>
      </c>
      <c r="F107" s="198" t="s">
        <v>121</v>
      </c>
      <c r="G107" s="204">
        <v>2</v>
      </c>
      <c r="H107" s="189" t="str">
        <f>IF(G107&lt;=0,"",IF(G107&lt;=2,"Muy Baja",IF(G107&lt;=24,"Baja",IF(G107&lt;=500,"Media",IF(G107&lt;=5000,"Alta","Muy Alta")))))</f>
        <v>Muy Baja</v>
      </c>
      <c r="I107" s="186">
        <f>IF(H107="","",IF(H107="Muy Baja",0.2,IF(H107="Baja",0.4,IF(H107="Media",0.6,IF(H107="Alta",0.8,IF(H107="Muy Alta",1,))))))</f>
        <v>0.2</v>
      </c>
      <c r="J107" s="183" t="s">
        <v>150</v>
      </c>
      <c r="K107" s="186" t="str">
        <f>IF(NOT(ISERROR(MATCH(J107,'Tabla Impacto'!$B$221:$B$223,0))),'Tabla Impacto'!$F$223&amp;"Por favor no seleccionar los criterios de impacto(Afectación Económica o presupuestal y Pérdida Reputacional)",J107)</f>
        <v xml:space="preserve">     Mayor a 500 SMLMV </v>
      </c>
      <c r="L107" s="189" t="str">
        <f>IF(OR(K107='Tabla Impacto'!$C$11,K107='Tabla Impacto'!$D$11),"Leve",IF(OR(K107='Tabla Impacto'!$C$12,K107='Tabla Impacto'!$D$12),"Menor",IF(OR(K107='Tabla Impacto'!$C$13,K107='Tabla Impacto'!$D$13),"Moderado",IF(OR(K107='Tabla Impacto'!$C$14,K107='Tabla Impacto'!$D$14),"Mayor",IF(OR(K107='Tabla Impacto'!$C$15,K107='Tabla Impacto'!$D$15),"Catastrófico","")))))</f>
        <v>Catastrófico</v>
      </c>
      <c r="M107" s="186">
        <f>IF(L107="","",IF(L107="Leve",0.2,IF(L107="Menor",0.4,IF(L107="Moderado",0.6,IF(L107="Mayor",0.8,IF(L107="Catastrófico",1,))))))</f>
        <v>1</v>
      </c>
      <c r="N107" s="192"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Extremo</v>
      </c>
      <c r="O107" s="123">
        <v>1</v>
      </c>
      <c r="P107" s="124" t="s">
        <v>275</v>
      </c>
      <c r="Q107" s="125" t="str">
        <f>IF(OR(R107="Preventivo",R107="Detectivo"),"Probabilidad",IF(R107="Correctivo","Impacto",""))</f>
        <v>Probabilidad</v>
      </c>
      <c r="R107" s="126" t="s">
        <v>12</v>
      </c>
      <c r="S107" s="126" t="s">
        <v>8</v>
      </c>
      <c r="T107" s="127" t="str">
        <f>IF(AND(R107="Preventivo",S107="Automático"),"50%",IF(AND(R107="Preventivo",S107="Manual"),"40%",IF(AND(R107="Detectivo",S107="Automático"),"40%",IF(AND(R107="Detectivo",S107="Manual"),"30%",IF(AND(R107="Correctivo",S107="Automático"),"35%",IF(AND(R107="Correctivo",S107="Manual"),"25%",""))))))</f>
        <v>40%</v>
      </c>
      <c r="U107" s="126" t="s">
        <v>17</v>
      </c>
      <c r="V107" s="126" t="s">
        <v>20</v>
      </c>
      <c r="W107" s="126" t="s">
        <v>117</v>
      </c>
      <c r="X107" s="128">
        <f>IFERROR(IF(Q107="Probabilidad",(I107-(+I107*T107)),IF(Q107="Impacto",I107,"")),"")</f>
        <v>0.12</v>
      </c>
      <c r="Y107" s="129" t="str">
        <f t="shared" si="110"/>
        <v>Muy Baja</v>
      </c>
      <c r="Z107" s="130">
        <f t="shared" si="111"/>
        <v>0.12</v>
      </c>
      <c r="AA107" s="129" t="str">
        <f>IFERROR(IF(AB107="","",IF(AB107&lt;=0.2,"Leve",IF(AB107&lt;=0.4,"Menor",IF(AB107&lt;=0.6,"Moderado",IF(AB107&lt;=0.8,"Mayor","Catastrófico"))))),"")</f>
        <v>Catastrófico</v>
      </c>
      <c r="AB107" s="130">
        <f>IFERROR(IF(Q107="Impacto",(M107-(+M107*T107)),IF(Q107="Probabilidad",M107,"")),"")</f>
        <v>1</v>
      </c>
      <c r="AC107" s="131" t="str">
        <f>IFERROR(IF(OR(AND(Y107="Muy Baja",AA107="Leve"),AND(Y107="Muy Baja",AA107="Menor"),AND(Y107="Baja",AA107="Leve")),"Bajo",IF(OR(AND(Y107="Muy baja",AA107="Moderado"),AND(Y107="Baja",AA107="Menor"),AND(Y107="Baja",AA107="Moderado"),AND(Y107="Media",AA107="Leve"),AND(Y107="Media",AA107="Menor"),AND(Y107="Media",AA107="Moderado"),AND(Y107="Alta",AA107="Leve"),AND(Y107="Alta",AA107="Menor")),"Moderado",IF(OR(AND(Y107="Muy Baja",AA107="Mayor"),AND(Y107="Baja",AA107="Mayor"),AND(Y107="Media",AA107="Mayor"),AND(Y107="Alta",AA107="Moderado"),AND(Y107="Alta",AA107="Mayor"),AND(Y107="Muy Alta",AA107="Leve"),AND(Y107="Muy Alta",AA107="Menor"),AND(Y107="Muy Alta",AA107="Moderado"),AND(Y107="Muy Alta",AA107="Mayor")),"Alto",IF(OR(AND(Y107="Muy Baja",AA107="Catastrófico"),AND(Y107="Baja",AA107="Catastrófico"),AND(Y107="Media",AA107="Catastrófico"),AND(Y107="Alta",AA107="Catastrófico"),AND(Y107="Muy Alta",AA107="Catastrófico")),"Extremo","")))),"")</f>
        <v>Extremo</v>
      </c>
      <c r="AD107" s="132" t="s">
        <v>134</v>
      </c>
      <c r="AE107" s="133"/>
      <c r="AF107" s="134"/>
      <c r="AG107" s="135"/>
      <c r="AH107" s="135"/>
      <c r="AI107" s="133"/>
      <c r="AJ107" s="134"/>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row>
    <row r="108" spans="1:68" ht="151.5" customHeight="1" x14ac:dyDescent="0.15">
      <c r="A108" s="196"/>
      <c r="B108" s="199"/>
      <c r="C108" s="199"/>
      <c r="D108" s="199"/>
      <c r="E108" s="202"/>
      <c r="F108" s="199"/>
      <c r="G108" s="205"/>
      <c r="H108" s="190"/>
      <c r="I108" s="187"/>
      <c r="J108" s="184"/>
      <c r="K108" s="187">
        <f>IF(NOT(ISERROR(MATCH(J108,_xlfn.ANCHORARRAY(E290),0))),I292&amp;"Por favor no seleccionar los criterios de impacto",J108)</f>
        <v>0</v>
      </c>
      <c r="L108" s="190"/>
      <c r="M108" s="187"/>
      <c r="N108" s="193"/>
      <c r="O108" s="123">
        <v>2</v>
      </c>
      <c r="P108" s="124" t="s">
        <v>276</v>
      </c>
      <c r="Q108" s="125" t="str">
        <f>IF(OR(R108="Preventivo",R108="Detectivo"),"Probabilidad",IF(R108="Correctivo","Impacto",""))</f>
        <v>Probabilidad</v>
      </c>
      <c r="R108" s="126" t="s">
        <v>13</v>
      </c>
      <c r="S108" s="126" t="s">
        <v>9</v>
      </c>
      <c r="T108" s="127" t="str">
        <f t="shared" ref="T108:T109" si="126">IF(AND(R108="Preventivo",S108="Automático"),"50%",IF(AND(R108="Preventivo",S108="Manual"),"40%",IF(AND(R108="Detectivo",S108="Automático"),"40%",IF(AND(R108="Detectivo",S108="Manual"),"30%",IF(AND(R108="Correctivo",S108="Automático"),"35%",IF(AND(R108="Correctivo",S108="Manual"),"25%",""))))))</f>
        <v>40%</v>
      </c>
      <c r="U108" s="126" t="s">
        <v>17</v>
      </c>
      <c r="V108" s="126" t="s">
        <v>20</v>
      </c>
      <c r="W108" s="126" t="s">
        <v>117</v>
      </c>
      <c r="X108" s="128">
        <f>IFERROR(IF(AND(Q107="Probabilidad",Q108="Probabilidad"),(Z107-(+Z107*T108)),IF(Q108="Probabilidad",(I107-(+I107*T108)),IF(Q108="Impacto",Z107,""))),"")</f>
        <v>7.1999999999999995E-2</v>
      </c>
      <c r="Y108" s="129" t="str">
        <f t="shared" si="110"/>
        <v>Muy Baja</v>
      </c>
      <c r="Z108" s="130">
        <f t="shared" si="111"/>
        <v>7.1999999999999995E-2</v>
      </c>
      <c r="AA108" s="129" t="str">
        <f t="shared" ref="AA108:AA109" si="127">IFERROR(IF(AB108="","",IF(AB108&lt;=0.2,"Leve",IF(AB108&lt;=0.4,"Menor",IF(AB108&lt;=0.6,"Moderado",IF(AB108&lt;=0.8,"Mayor","Catastrófico"))))),"")</f>
        <v>Catastrófico</v>
      </c>
      <c r="AB108" s="130">
        <f>IFERROR(IF(AND(Q107="Impacto",Q108="Impacto"),(AB107-(+AB107*T108)),IF(Q108="Impacto",(M107-(+M107*T108)),IF(Q108="Probabilidad",AB107,""))),"")</f>
        <v>1</v>
      </c>
      <c r="AC108" s="131" t="str">
        <f t="shared" ref="AC108" si="128">IFERROR(IF(OR(AND(Y108="Muy Baja",AA108="Leve"),AND(Y108="Muy Baja",AA108="Menor"),AND(Y108="Baja",AA108="Leve")),"Bajo",IF(OR(AND(Y108="Muy baja",AA108="Moderado"),AND(Y108="Baja",AA108="Menor"),AND(Y108="Baja",AA108="Moderado"),AND(Y108="Media",AA108="Leve"),AND(Y108="Media",AA108="Menor"),AND(Y108="Media",AA108="Moderado"),AND(Y108="Alta",AA108="Leve"),AND(Y108="Alta",AA108="Menor")),"Moderado",IF(OR(AND(Y108="Muy Baja",AA108="Mayor"),AND(Y108="Baja",AA108="Mayor"),AND(Y108="Media",AA108="Mayor"),AND(Y108="Alta",AA108="Moderado"),AND(Y108="Alta",AA108="Mayor"),AND(Y108="Muy Alta",AA108="Leve"),AND(Y108="Muy Alta",AA108="Menor"),AND(Y108="Muy Alta",AA108="Moderado"),AND(Y108="Muy Alta",AA108="Mayor")),"Alto",IF(OR(AND(Y108="Muy Baja",AA108="Catastrófico"),AND(Y108="Baja",AA108="Catastrófico"),AND(Y108="Media",AA108="Catastrófico"),AND(Y108="Alta",AA108="Catastrófico"),AND(Y108="Muy Alta",AA108="Catastrófico")),"Extremo","")))),"")</f>
        <v>Extremo</v>
      </c>
      <c r="AD108" s="132" t="s">
        <v>134</v>
      </c>
      <c r="AE108" s="133"/>
      <c r="AF108" s="134"/>
      <c r="AG108" s="135"/>
      <c r="AH108" s="135"/>
      <c r="AI108" s="133"/>
      <c r="AJ108" s="134"/>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row>
    <row r="109" spans="1:68" ht="151.5" customHeight="1" x14ac:dyDescent="0.15">
      <c r="A109" s="196"/>
      <c r="B109" s="199"/>
      <c r="C109" s="199"/>
      <c r="D109" s="199"/>
      <c r="E109" s="202"/>
      <c r="F109" s="199"/>
      <c r="G109" s="205"/>
      <c r="H109" s="190"/>
      <c r="I109" s="187"/>
      <c r="J109" s="184"/>
      <c r="K109" s="187">
        <f>IF(NOT(ISERROR(MATCH(J109,_xlfn.ANCHORARRAY(E291),0))),I293&amp;"Por favor no seleccionar los criterios de impacto",J109)</f>
        <v>0</v>
      </c>
      <c r="L109" s="190"/>
      <c r="M109" s="187"/>
      <c r="N109" s="193"/>
      <c r="O109" s="123">
        <v>3</v>
      </c>
      <c r="P109" s="136"/>
      <c r="Q109" s="125" t="str">
        <f>IF(OR(R109="Preventivo",R109="Detectivo"),"Probabilidad",IF(R109="Correctivo","Impacto",""))</f>
        <v/>
      </c>
      <c r="R109" s="126"/>
      <c r="S109" s="126"/>
      <c r="T109" s="127" t="str">
        <f t="shared" si="126"/>
        <v/>
      </c>
      <c r="U109" s="126"/>
      <c r="V109" s="126"/>
      <c r="W109" s="126"/>
      <c r="X109" s="128" t="str">
        <f>IFERROR(IF(AND(Q108="Probabilidad",Q109="Probabilidad"),(Z108-(+Z108*T109)),IF(AND(Q108="Impacto",Q109="Probabilidad"),(Z107-(+Z107*T109)),IF(Q109="Impacto",Z108,""))),"")</f>
        <v/>
      </c>
      <c r="Y109" s="129" t="str">
        <f t="shared" si="110"/>
        <v/>
      </c>
      <c r="Z109" s="130" t="str">
        <f t="shared" si="111"/>
        <v/>
      </c>
      <c r="AA109" s="129" t="str">
        <f t="shared" si="127"/>
        <v/>
      </c>
      <c r="AB109" s="130" t="str">
        <f>IFERROR(IF(AND(Q108="Impacto",Q109="Impacto"),(AB108-(+AB108*T109)),IF(AND(Q108="Probabilidad",Q109="Impacto"),(AB107-(+AB107*T109)),IF(Q109="Probabilidad",AB108,""))),"")</f>
        <v/>
      </c>
      <c r="AC109" s="131" t="str">
        <f>IFERROR(IF(OR(AND(Y109="Muy Baja",AA109="Leve"),AND(Y109="Muy Baja",AA109="Menor"),AND(Y109="Baja",AA109="Leve")),"Bajo",IF(OR(AND(Y109="Muy baja",AA109="Moderado"),AND(Y109="Baja",AA109="Menor"),AND(Y109="Baja",AA109="Moderado"),AND(Y109="Media",AA109="Leve"),AND(Y109="Media",AA109="Menor"),AND(Y109="Media",AA109="Moderado"),AND(Y109="Alta",AA109="Leve"),AND(Y109="Alta",AA109="Menor")),"Moderado",IF(OR(AND(Y109="Muy Baja",AA109="Mayor"),AND(Y109="Baja",AA109="Mayor"),AND(Y109="Media",AA109="Mayor"),AND(Y109="Alta",AA109="Moderado"),AND(Y109="Alta",AA109="Mayor"),AND(Y109="Muy Alta",AA109="Leve"),AND(Y109="Muy Alta",AA109="Menor"),AND(Y109="Muy Alta",AA109="Moderado"),AND(Y109="Muy Alta",AA109="Mayor")),"Alto",IF(OR(AND(Y109="Muy Baja",AA109="Catastrófico"),AND(Y109="Baja",AA109="Catastrófico"),AND(Y109="Media",AA109="Catastrófico"),AND(Y109="Alta",AA109="Catastrófico"),AND(Y109="Muy Alta",AA109="Catastrófico")),"Extremo","")))),"")</f>
        <v/>
      </c>
      <c r="AD109" s="132"/>
      <c r="AE109" s="133"/>
      <c r="AF109" s="134"/>
      <c r="AG109" s="135"/>
      <c r="AH109" s="135"/>
      <c r="AI109" s="133"/>
      <c r="AJ109" s="134"/>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row>
    <row r="110" spans="1:68" ht="151.5" customHeight="1" x14ac:dyDescent="0.15">
      <c r="A110" s="196"/>
      <c r="B110" s="199"/>
      <c r="C110" s="199"/>
      <c r="D110" s="199"/>
      <c r="E110" s="202"/>
      <c r="F110" s="199"/>
      <c r="G110" s="205"/>
      <c r="H110" s="190"/>
      <c r="I110" s="187"/>
      <c r="J110" s="184"/>
      <c r="K110" s="187">
        <f>IF(NOT(ISERROR(MATCH(J110,_xlfn.ANCHORARRAY(E292),0))),I294&amp;"Por favor no seleccionar los criterios de impacto",J110)</f>
        <v>0</v>
      </c>
      <c r="L110" s="190"/>
      <c r="M110" s="187"/>
      <c r="N110" s="193"/>
      <c r="O110" s="123">
        <v>4</v>
      </c>
      <c r="P110" s="124"/>
      <c r="Q110" s="125" t="str">
        <f t="shared" ref="Q110:Q111" si="129">IF(OR(R110="Preventivo",R110="Detectivo"),"Probabilidad",IF(R110="Correctivo","Impacto",""))</f>
        <v/>
      </c>
      <c r="R110" s="126"/>
      <c r="S110" s="126"/>
      <c r="T110" s="127" t="str">
        <f t="shared" ref="T110:T112" si="130">IF(AND(R110="Preventivo",S110="Automático"),"50%",IF(AND(R110="Preventivo",S110="Manual"),"40%",IF(AND(R110="Detectivo",S110="Automático"),"40%",IF(AND(R110="Detectivo",S110="Manual"),"30%",IF(AND(R110="Correctivo",S110="Automático"),"35%",IF(AND(R110="Correctivo",S110="Manual"),"25%",""))))))</f>
        <v/>
      </c>
      <c r="U110" s="126"/>
      <c r="V110" s="126"/>
      <c r="W110" s="126"/>
      <c r="X110" s="128" t="str">
        <f t="shared" ref="X110:X112" si="131">IFERROR(IF(AND(Q109="Probabilidad",Q110="Probabilidad"),(Z109-(+Z109*T110)),IF(AND(Q109="Impacto",Q110="Probabilidad"),(Z108-(+Z108*T110)),IF(Q110="Impacto",Z109,""))),"")</f>
        <v/>
      </c>
      <c r="Y110" s="129" t="str">
        <f t="shared" ref="Y110:Y112" si="132">IFERROR(IF(X110="","",IF(X110&lt;=0.2,"Muy Baja",IF(X110&lt;=0.4,"Baja",IF(X110&lt;=0.6,"Media",IF(X110&lt;=0.8,"Alta","Muy Alta"))))),"")</f>
        <v/>
      </c>
      <c r="Z110" s="130" t="str">
        <f t="shared" ref="Z110:Z112" si="133">+X110</f>
        <v/>
      </c>
      <c r="AA110" s="129" t="str">
        <f t="shared" ref="AA110:AA112" si="134">IFERROR(IF(AB110="","",IF(AB110&lt;=0.2,"Leve",IF(AB110&lt;=0.4,"Menor",IF(AB110&lt;=0.6,"Moderado",IF(AB110&lt;=0.8,"Mayor","Catastrófico"))))),"")</f>
        <v/>
      </c>
      <c r="AB110" s="130" t="str">
        <f t="shared" ref="AB110:AB112" si="135">IFERROR(IF(AND(Q109="Impacto",Q110="Impacto"),(AB109-(+AB109*T110)),IF(AND(Q109="Probabilidad",Q110="Impacto"),(AB108-(+AB108*T110)),IF(Q110="Probabilidad",AB109,""))),"")</f>
        <v/>
      </c>
      <c r="AC110" s="131" t="str">
        <f t="shared" ref="AC110:AC112" si="136">IFERROR(IF(OR(AND(Y110="Muy Baja",AA110="Leve"),AND(Y110="Muy Baja",AA110="Menor"),AND(Y110="Baja",AA110="Leve")),"Bajo",IF(OR(AND(Y110="Muy baja",AA110="Moderado"),AND(Y110="Baja",AA110="Menor"),AND(Y110="Baja",AA110="Moderado"),AND(Y110="Media",AA110="Leve"),AND(Y110="Media",AA110="Menor"),AND(Y110="Media",AA110="Moderado"),AND(Y110="Alta",AA110="Leve"),AND(Y110="Alta",AA110="Menor")),"Moderado",IF(OR(AND(Y110="Muy Baja",AA110="Mayor"),AND(Y110="Baja",AA110="Mayor"),AND(Y110="Media",AA110="Mayor"),AND(Y110="Alta",AA110="Moderado"),AND(Y110="Alta",AA110="Mayor"),AND(Y110="Muy Alta",AA110="Leve"),AND(Y110="Muy Alta",AA110="Menor"),AND(Y110="Muy Alta",AA110="Moderado"),AND(Y110="Muy Alta",AA110="Mayor")),"Alto",IF(OR(AND(Y110="Muy Baja",AA110="Catastrófico"),AND(Y110="Baja",AA110="Catastrófico"),AND(Y110="Media",AA110="Catastrófico"),AND(Y110="Alta",AA110="Catastrófico"),AND(Y110="Muy Alta",AA110="Catastrófico")),"Extremo","")))),"")</f>
        <v/>
      </c>
      <c r="AD110" s="132"/>
      <c r="AE110" s="133"/>
      <c r="AF110" s="134"/>
      <c r="AG110" s="135"/>
      <c r="AH110" s="135"/>
      <c r="AI110" s="133"/>
      <c r="AJ110" s="134"/>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row>
    <row r="111" spans="1:68" ht="151.5" customHeight="1" x14ac:dyDescent="0.15">
      <c r="A111" s="196"/>
      <c r="B111" s="199"/>
      <c r="C111" s="199"/>
      <c r="D111" s="199"/>
      <c r="E111" s="202"/>
      <c r="F111" s="199"/>
      <c r="G111" s="205"/>
      <c r="H111" s="190"/>
      <c r="I111" s="187"/>
      <c r="J111" s="184"/>
      <c r="K111" s="187">
        <f>IF(NOT(ISERROR(MATCH(J111,_xlfn.ANCHORARRAY(E293),0))),I295&amp;"Por favor no seleccionar los criterios de impacto",J111)</f>
        <v>0</v>
      </c>
      <c r="L111" s="190"/>
      <c r="M111" s="187"/>
      <c r="N111" s="193"/>
      <c r="O111" s="123">
        <v>5</v>
      </c>
      <c r="P111" s="124"/>
      <c r="Q111" s="125" t="str">
        <f t="shared" si="129"/>
        <v/>
      </c>
      <c r="R111" s="126"/>
      <c r="S111" s="126"/>
      <c r="T111" s="127" t="str">
        <f t="shared" si="130"/>
        <v/>
      </c>
      <c r="U111" s="126"/>
      <c r="V111" s="126"/>
      <c r="W111" s="126"/>
      <c r="X111" s="128" t="str">
        <f t="shared" si="131"/>
        <v/>
      </c>
      <c r="Y111" s="129" t="str">
        <f t="shared" si="132"/>
        <v/>
      </c>
      <c r="Z111" s="130" t="str">
        <f t="shared" si="133"/>
        <v/>
      </c>
      <c r="AA111" s="129" t="str">
        <f t="shared" si="134"/>
        <v/>
      </c>
      <c r="AB111" s="130" t="str">
        <f t="shared" si="135"/>
        <v/>
      </c>
      <c r="AC111" s="131" t="str">
        <f t="shared" si="136"/>
        <v/>
      </c>
      <c r="AD111" s="132"/>
      <c r="AE111" s="133"/>
      <c r="AF111" s="134"/>
      <c r="AG111" s="135"/>
      <c r="AH111" s="135"/>
      <c r="AI111" s="133"/>
      <c r="AJ111" s="134"/>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row>
    <row r="112" spans="1:68" ht="151.5" customHeight="1" x14ac:dyDescent="0.15">
      <c r="A112" s="197"/>
      <c r="B112" s="200"/>
      <c r="C112" s="200"/>
      <c r="D112" s="200"/>
      <c r="E112" s="203"/>
      <c r="F112" s="200"/>
      <c r="G112" s="206"/>
      <c r="H112" s="191"/>
      <c r="I112" s="188"/>
      <c r="J112" s="185"/>
      <c r="K112" s="188">
        <f>IF(NOT(ISERROR(MATCH(J112,_xlfn.ANCHORARRAY(E294),0))),I296&amp;"Por favor no seleccionar los criterios de impacto",J112)</f>
        <v>0</v>
      </c>
      <c r="L112" s="191"/>
      <c r="M112" s="188"/>
      <c r="N112" s="194"/>
      <c r="O112" s="123">
        <v>6</v>
      </c>
      <c r="P112" s="124"/>
      <c r="Q112" s="125" t="str">
        <f>IF(OR(R112="Preventivo",R112="Detectivo"),"Probabilidad",IF(R112="Correctivo","Impacto",""))</f>
        <v/>
      </c>
      <c r="R112" s="126"/>
      <c r="S112" s="126"/>
      <c r="T112" s="127" t="str">
        <f t="shared" si="130"/>
        <v/>
      </c>
      <c r="U112" s="126"/>
      <c r="V112" s="126"/>
      <c r="W112" s="126"/>
      <c r="X112" s="128" t="str">
        <f t="shared" si="131"/>
        <v/>
      </c>
      <c r="Y112" s="129" t="str">
        <f t="shared" si="132"/>
        <v/>
      </c>
      <c r="Z112" s="130" t="str">
        <f t="shared" si="133"/>
        <v/>
      </c>
      <c r="AA112" s="129" t="str">
        <f t="shared" si="134"/>
        <v/>
      </c>
      <c r="AB112" s="130" t="str">
        <f t="shared" si="135"/>
        <v/>
      </c>
      <c r="AC112" s="131" t="str">
        <f t="shared" si="136"/>
        <v/>
      </c>
      <c r="AD112" s="132"/>
      <c r="AE112" s="133"/>
      <c r="AF112" s="134"/>
      <c r="AG112" s="135"/>
      <c r="AH112" s="135"/>
      <c r="AI112" s="133"/>
      <c r="AJ112" s="134"/>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row>
    <row r="113" spans="1:68" ht="151.5" customHeight="1" x14ac:dyDescent="0.15">
      <c r="A113" s="195">
        <f>+A107+1</f>
        <v>18</v>
      </c>
      <c r="B113" s="198" t="s">
        <v>131</v>
      </c>
      <c r="C113" s="198" t="s">
        <v>236</v>
      </c>
      <c r="D113" s="198"/>
      <c r="E113" s="201" t="s">
        <v>277</v>
      </c>
      <c r="F113" s="198" t="s">
        <v>121</v>
      </c>
      <c r="G113" s="204">
        <v>2</v>
      </c>
      <c r="H113" s="189" t="str">
        <f>IF(G113&lt;=0,"",IF(G113&lt;=2,"Muy Baja",IF(G113&lt;=24,"Baja",IF(G113&lt;=500,"Media",IF(G113&lt;=5000,"Alta","Muy Alta")))))</f>
        <v>Muy Baja</v>
      </c>
      <c r="I113" s="186">
        <f>IF(H113="","",IF(H113="Muy Baja",0.2,IF(H113="Baja",0.4,IF(H113="Media",0.6,IF(H113="Alta",0.8,IF(H113="Muy Alta",1,))))))</f>
        <v>0.2</v>
      </c>
      <c r="J113" s="183" t="s">
        <v>148</v>
      </c>
      <c r="K113" s="186" t="str">
        <f>IF(NOT(ISERROR(MATCH(J113,'Tabla Impacto'!$B$221:$B$223,0))),'Tabla Impacto'!$F$223&amp;"Por favor no seleccionar los criterios de impacto(Afectación Económica o presupuestal y Pérdida Reputacional)",J113)</f>
        <v xml:space="preserve">     Entre 10 y 50 SMLMV </v>
      </c>
      <c r="L113" s="189" t="str">
        <f>IF(OR(K113='Tabla Impacto'!$C$11,K113='Tabla Impacto'!$D$11),"Leve",IF(OR(K113='Tabla Impacto'!$C$12,K113='Tabla Impacto'!$D$12),"Menor",IF(OR(K113='Tabla Impacto'!$C$13,K113='Tabla Impacto'!$D$13),"Moderado",IF(OR(K113='Tabla Impacto'!$C$14,K113='Tabla Impacto'!$D$14),"Mayor",IF(OR(K113='Tabla Impacto'!$C$15,K113='Tabla Impacto'!$D$15),"Catastrófico","")))))</f>
        <v>Menor</v>
      </c>
      <c r="M113" s="186">
        <f>IF(L113="","",IF(L113="Leve",0.2,IF(L113="Menor",0.4,IF(L113="Moderado",0.6,IF(L113="Mayor",0.8,IF(L113="Catastrófico",1,))))))</f>
        <v>0.4</v>
      </c>
      <c r="N113" s="192" t="str">
        <f>IF(OR(AND(H113="Muy Baja",L113="Leve"),AND(H113="Muy Baja",L113="Menor"),AND(H113="Baja",L113="Leve")),"Bajo",IF(OR(AND(H113="Muy baja",L113="Moderado"),AND(H113="Baja",L113="Menor"),AND(H113="Baja",L113="Moderado"),AND(H113="Media",L113="Leve"),AND(H113="Media",L113="Menor"),AND(H113="Media",L113="Moderado"),AND(H113="Alta",L113="Leve"),AND(H113="Alta",L113="Menor")),"Moderado",IF(OR(AND(H113="Muy Baja",L113="Mayor"),AND(H113="Baja",L113="Mayor"),AND(H113="Media",L113="Mayor"),AND(H113="Alta",L113="Moderado"),AND(H113="Alta",L113="Mayor"),AND(H113="Muy Alta",L113="Leve"),AND(H113="Muy Alta",L113="Menor"),AND(H113="Muy Alta",L113="Moderado"),AND(H113="Muy Alta",L113="Mayor")),"Alto",IF(OR(AND(H113="Muy Baja",L113="Catastrófico"),AND(H113="Baja",L113="Catastrófico"),AND(H113="Media",L113="Catastrófico"),AND(H113="Alta",L113="Catastrófico"),AND(H113="Muy Alta",L113="Catastrófico")),"Extremo",""))))</f>
        <v>Bajo</v>
      </c>
      <c r="O113" s="123">
        <v>1</v>
      </c>
      <c r="P113" s="124" t="s">
        <v>278</v>
      </c>
      <c r="Q113" s="125" t="str">
        <f>IF(OR(R113="Preventivo",R113="Detectivo"),"Probabilidad",IF(R113="Correctivo","Impacto",""))</f>
        <v>Probabilidad</v>
      </c>
      <c r="R113" s="126" t="s">
        <v>12</v>
      </c>
      <c r="S113" s="126" t="s">
        <v>8</v>
      </c>
      <c r="T113" s="127" t="str">
        <f>IF(AND(R113="Preventivo",S113="Automático"),"50%",IF(AND(R113="Preventivo",S113="Manual"),"40%",IF(AND(R113="Detectivo",S113="Automático"),"40%",IF(AND(R113="Detectivo",S113="Manual"),"30%",IF(AND(R113="Correctivo",S113="Automático"),"35%",IF(AND(R113="Correctivo",S113="Manual"),"25%",""))))))</f>
        <v>40%</v>
      </c>
      <c r="U113" s="126" t="s">
        <v>17</v>
      </c>
      <c r="V113" s="126" t="s">
        <v>20</v>
      </c>
      <c r="W113" s="126" t="s">
        <v>117</v>
      </c>
      <c r="X113" s="128">
        <f>IFERROR(IF(Q113="Probabilidad",(I113-(+I113*T113)),IF(Q113="Impacto",I113,"")),"")</f>
        <v>0.12</v>
      </c>
      <c r="Y113" s="129" t="str">
        <f>IFERROR(IF(X113="","",IF(X113&lt;=0.2,"Muy Baja",IF(X113&lt;=0.4,"Baja",IF(X113&lt;=0.6,"Media",IF(X113&lt;=0.8,"Alta","Muy Alta"))))),"")</f>
        <v>Muy Baja</v>
      </c>
      <c r="Z113" s="130">
        <f>+X113</f>
        <v>0.12</v>
      </c>
      <c r="AA113" s="129" t="str">
        <f>IFERROR(IF(AB113="","",IF(AB113&lt;=0.2,"Leve",IF(AB113&lt;=0.4,"Menor",IF(AB113&lt;=0.6,"Moderado",IF(AB113&lt;=0.8,"Mayor","Catastrófico"))))),"")</f>
        <v>Menor</v>
      </c>
      <c r="AB113" s="130">
        <f>IFERROR(IF(Q113="Impacto",(M113-(+M113*T113)),IF(Q113="Probabilidad",M113,"")),"")</f>
        <v>0.4</v>
      </c>
      <c r="AC113" s="131" t="str">
        <f>IFERROR(IF(OR(AND(Y113="Muy Baja",AA113="Leve"),AND(Y113="Muy Baja",AA113="Menor"),AND(Y113="Baja",AA113="Leve")),"Bajo",IF(OR(AND(Y113="Muy baja",AA113="Moderado"),AND(Y113="Baja",AA113="Menor"),AND(Y113="Baja",AA113="Moderado"),AND(Y113="Media",AA113="Leve"),AND(Y113="Media",AA113="Menor"),AND(Y113="Media",AA113="Moderado"),AND(Y113="Alta",AA113="Leve"),AND(Y113="Alta",AA113="Menor")),"Moderado",IF(OR(AND(Y113="Muy Baja",AA113="Mayor"),AND(Y113="Baja",AA113="Mayor"),AND(Y113="Media",AA113="Mayor"),AND(Y113="Alta",AA113="Moderado"),AND(Y113="Alta",AA113="Mayor"),AND(Y113="Muy Alta",AA113="Leve"),AND(Y113="Muy Alta",AA113="Menor"),AND(Y113="Muy Alta",AA113="Moderado"),AND(Y113="Muy Alta",AA113="Mayor")),"Alto",IF(OR(AND(Y113="Muy Baja",AA113="Catastrófico"),AND(Y113="Baja",AA113="Catastrófico"),AND(Y113="Media",AA113="Catastrófico"),AND(Y113="Alta",AA113="Catastrófico"),AND(Y113="Muy Alta",AA113="Catastrófico")),"Extremo","")))),"")</f>
        <v>Bajo</v>
      </c>
      <c r="AD113" s="132" t="s">
        <v>29</v>
      </c>
      <c r="AE113" s="133"/>
      <c r="AF113" s="134"/>
      <c r="AG113" s="135"/>
      <c r="AH113" s="135"/>
      <c r="AI113" s="133"/>
      <c r="AJ113" s="134"/>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row>
    <row r="114" spans="1:68" ht="151.5" customHeight="1" x14ac:dyDescent="0.15">
      <c r="A114" s="196"/>
      <c r="B114" s="199"/>
      <c r="C114" s="199"/>
      <c r="D114" s="199"/>
      <c r="E114" s="202"/>
      <c r="F114" s="199"/>
      <c r="G114" s="205"/>
      <c r="H114" s="190"/>
      <c r="I114" s="187"/>
      <c r="J114" s="184"/>
      <c r="K114" s="187">
        <f>IF(NOT(ISERROR(MATCH(J114,_xlfn.ANCHORARRAY(E296),0))),I298&amp;"Por favor no seleccionar los criterios de impacto",J114)</f>
        <v>0</v>
      </c>
      <c r="L114" s="190"/>
      <c r="M114" s="187"/>
      <c r="N114" s="193"/>
      <c r="O114" s="123">
        <v>2</v>
      </c>
      <c r="P114" s="124" t="s">
        <v>279</v>
      </c>
      <c r="Q114" s="125" t="str">
        <f>IF(OR(R114="Preventivo",R114="Detectivo"),"Probabilidad",IF(R114="Correctivo","Impacto",""))</f>
        <v/>
      </c>
      <c r="R114" s="126"/>
      <c r="S114" s="126"/>
      <c r="T114" s="127" t="str">
        <f t="shared" ref="T114:T118" si="137">IF(AND(R114="Preventivo",S114="Automático"),"50%",IF(AND(R114="Preventivo",S114="Manual"),"40%",IF(AND(R114="Detectivo",S114="Automático"),"40%",IF(AND(R114="Detectivo",S114="Manual"),"30%",IF(AND(R114="Correctivo",S114="Automático"),"35%",IF(AND(R114="Correctivo",S114="Manual"),"25%",""))))))</f>
        <v/>
      </c>
      <c r="U114" s="126"/>
      <c r="V114" s="126"/>
      <c r="W114" s="126"/>
      <c r="X114" s="128" t="str">
        <f>IFERROR(IF(AND(Q113="Probabilidad",Q114="Probabilidad"),(Z113-(+Z113*T114)),IF(Q114="Probabilidad",(I113-(+I113*T114)),IF(Q114="Impacto",Z113,""))),"")</f>
        <v/>
      </c>
      <c r="Y114" s="129" t="str">
        <f>IFERROR(IF(X114="","",IF(X114&lt;=0.2,"Muy Baja",IF(X114&lt;=0.4,"Baja",IF(X114&lt;=0.6,"Media",IF(X114&lt;=0.8,"Alta","Muy Alta"))))),"")</f>
        <v/>
      </c>
      <c r="Z114" s="130" t="str">
        <f>+X114</f>
        <v/>
      </c>
      <c r="AA114" s="129" t="str">
        <f t="shared" ref="AA114:AA118" si="138">IFERROR(IF(AB114="","",IF(AB114&lt;=0.2,"Leve",IF(AB114&lt;=0.4,"Menor",IF(AB114&lt;=0.6,"Moderado",IF(AB114&lt;=0.8,"Mayor","Catastrófico"))))),"")</f>
        <v/>
      </c>
      <c r="AB114" s="130" t="str">
        <f>IFERROR(IF(AND(Q113="Impacto",Q114="Impacto"),(AB113-(+AB113*T114)),IF(Q114="Impacto",(M113-(+M113*T114)),IF(Q114="Probabilidad",AB113,""))),"")</f>
        <v/>
      </c>
      <c r="AC114" s="131" t="str">
        <f t="shared" ref="AC114" si="139">IFERROR(IF(OR(AND(Y114="Muy Baja",AA114="Leve"),AND(Y114="Muy Baja",AA114="Menor"),AND(Y114="Baja",AA114="Leve")),"Bajo",IF(OR(AND(Y114="Muy baja",AA114="Moderado"),AND(Y114="Baja",AA114="Menor"),AND(Y114="Baja",AA114="Moderado"),AND(Y114="Media",AA114="Leve"),AND(Y114="Media",AA114="Menor"),AND(Y114="Media",AA114="Moderado"),AND(Y114="Alta",AA114="Leve"),AND(Y114="Alta",AA114="Menor")),"Moderado",IF(OR(AND(Y114="Muy Baja",AA114="Mayor"),AND(Y114="Baja",AA114="Mayor"),AND(Y114="Media",AA114="Mayor"),AND(Y114="Alta",AA114="Moderado"),AND(Y114="Alta",AA114="Mayor"),AND(Y114="Muy Alta",AA114="Leve"),AND(Y114="Muy Alta",AA114="Menor"),AND(Y114="Muy Alta",AA114="Moderado"),AND(Y114="Muy Alta",AA114="Mayor")),"Alto",IF(OR(AND(Y114="Muy Baja",AA114="Catastrófico"),AND(Y114="Baja",AA114="Catastrófico"),AND(Y114="Media",AA114="Catastrófico"),AND(Y114="Alta",AA114="Catastrófico"),AND(Y114="Muy Alta",AA114="Catastrófico")),"Extremo","")))),"")</f>
        <v/>
      </c>
      <c r="AD114" s="132"/>
      <c r="AE114" s="133"/>
      <c r="AF114" s="134"/>
      <c r="AG114" s="135"/>
      <c r="AH114" s="135"/>
      <c r="AI114" s="133"/>
      <c r="AJ114" s="134"/>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row>
    <row r="115" spans="1:68" ht="151.5" customHeight="1" x14ac:dyDescent="0.15">
      <c r="A115" s="196"/>
      <c r="B115" s="199"/>
      <c r="C115" s="199"/>
      <c r="D115" s="199"/>
      <c r="E115" s="202"/>
      <c r="F115" s="199"/>
      <c r="G115" s="205"/>
      <c r="H115" s="190"/>
      <c r="I115" s="187"/>
      <c r="J115" s="184"/>
      <c r="K115" s="187">
        <f>IF(NOT(ISERROR(MATCH(J115,_xlfn.ANCHORARRAY(E297),0))),I299&amp;"Por favor no seleccionar los criterios de impacto",J115)</f>
        <v>0</v>
      </c>
      <c r="L115" s="190"/>
      <c r="M115" s="187"/>
      <c r="N115" s="193"/>
      <c r="O115" s="123">
        <v>3</v>
      </c>
      <c r="P115" s="136" t="s">
        <v>280</v>
      </c>
      <c r="Q115" s="125" t="str">
        <f>IF(OR(R115="Preventivo",R115="Detectivo"),"Probabilidad",IF(R115="Correctivo","Impacto",""))</f>
        <v/>
      </c>
      <c r="R115" s="126"/>
      <c r="S115" s="126"/>
      <c r="T115" s="127" t="str">
        <f t="shared" si="137"/>
        <v/>
      </c>
      <c r="U115" s="126"/>
      <c r="V115" s="126"/>
      <c r="W115" s="126"/>
      <c r="X115" s="128" t="str">
        <f>IFERROR(IF(AND(Q114="Probabilidad",Q115="Probabilidad"),(Z114-(+Z114*T115)),IF(AND(Q114="Impacto",Q115="Probabilidad"),(Z113-(+Z113*T115)),IF(Q115="Impacto",Z114,""))),"")</f>
        <v/>
      </c>
      <c r="Y115" s="129" t="str">
        <f>IFERROR(IF(X115="","",IF(X115&lt;=0.2,"Muy Baja",IF(X115&lt;=0.4,"Baja",IF(X115&lt;=0.6,"Media",IF(X115&lt;=0.8,"Alta","Muy Alta"))))),"")</f>
        <v/>
      </c>
      <c r="Z115" s="130" t="str">
        <f>+X115</f>
        <v/>
      </c>
      <c r="AA115" s="129" t="str">
        <f t="shared" si="138"/>
        <v/>
      </c>
      <c r="AB115" s="130" t="str">
        <f>IFERROR(IF(AND(Q114="Impacto",Q115="Impacto"),(AB114-(+AB114*T115)),IF(AND(Q114="Probabilidad",Q115="Impacto"),(AB113-(+AB113*T115)),IF(Q115="Probabilidad",AB114,""))),"")</f>
        <v/>
      </c>
      <c r="AC115" s="131" t="str">
        <f>IFERROR(IF(OR(AND(Y115="Muy Baja",AA115="Leve"),AND(Y115="Muy Baja",AA115="Menor"),AND(Y115="Baja",AA115="Leve")),"Bajo",IF(OR(AND(Y115="Muy baja",AA115="Moderado"),AND(Y115="Baja",AA115="Menor"),AND(Y115="Baja",AA115="Moderado"),AND(Y115="Media",AA115="Leve"),AND(Y115="Media",AA115="Menor"),AND(Y115="Media",AA115="Moderado"),AND(Y115="Alta",AA115="Leve"),AND(Y115="Alta",AA115="Menor")),"Moderado",IF(OR(AND(Y115="Muy Baja",AA115="Mayor"),AND(Y115="Baja",AA115="Mayor"),AND(Y115="Media",AA115="Mayor"),AND(Y115="Alta",AA115="Moderado"),AND(Y115="Alta",AA115="Mayor"),AND(Y115="Muy Alta",AA115="Leve"),AND(Y115="Muy Alta",AA115="Menor"),AND(Y115="Muy Alta",AA115="Moderado"),AND(Y115="Muy Alta",AA115="Mayor")),"Alto",IF(OR(AND(Y115="Muy Baja",AA115="Catastrófico"),AND(Y115="Baja",AA115="Catastrófico"),AND(Y115="Media",AA115="Catastrófico"),AND(Y115="Alta",AA115="Catastrófico"),AND(Y115="Muy Alta",AA115="Catastrófico")),"Extremo","")))),"")</f>
        <v/>
      </c>
      <c r="AD115" s="132"/>
      <c r="AE115" s="133"/>
      <c r="AF115" s="134"/>
      <c r="AG115" s="135"/>
      <c r="AH115" s="135"/>
      <c r="AI115" s="133"/>
      <c r="AJ115" s="134"/>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row>
    <row r="116" spans="1:68" ht="151.5" customHeight="1" x14ac:dyDescent="0.15">
      <c r="A116" s="196"/>
      <c r="B116" s="199"/>
      <c r="C116" s="199"/>
      <c r="D116" s="199"/>
      <c r="E116" s="202"/>
      <c r="F116" s="199"/>
      <c r="G116" s="205"/>
      <c r="H116" s="190"/>
      <c r="I116" s="187"/>
      <c r="J116" s="184"/>
      <c r="K116" s="187">
        <f>IF(NOT(ISERROR(MATCH(J116,_xlfn.ANCHORARRAY(E298),0))),I300&amp;"Por favor no seleccionar los criterios de impacto",J116)</f>
        <v>0</v>
      </c>
      <c r="L116" s="190"/>
      <c r="M116" s="187"/>
      <c r="N116" s="193"/>
      <c r="O116" s="123"/>
      <c r="P116" s="124"/>
      <c r="Q116" s="125" t="str">
        <f t="shared" ref="Q116:Q117" si="140">IF(OR(R116="Preventivo",R116="Detectivo"),"Probabilidad",IF(R116="Correctivo","Impacto",""))</f>
        <v/>
      </c>
      <c r="R116" s="126"/>
      <c r="S116" s="126"/>
      <c r="T116" s="127" t="str">
        <f t="shared" si="137"/>
        <v/>
      </c>
      <c r="U116" s="126"/>
      <c r="V116" s="126"/>
      <c r="W116" s="126"/>
      <c r="X116" s="128" t="str">
        <f t="shared" ref="X116:X118" si="141">IFERROR(IF(AND(Q115="Probabilidad",Q116="Probabilidad"),(Z115-(+Z115*T116)),IF(AND(Q115="Impacto",Q116="Probabilidad"),(Z114-(+Z114*T116)),IF(Q116="Impacto",Z115,""))),"")</f>
        <v/>
      </c>
      <c r="Y116" s="129" t="str">
        <f t="shared" ref="Y116:Y118" si="142">IFERROR(IF(X116="","",IF(X116&lt;=0.2,"Muy Baja",IF(X116&lt;=0.4,"Baja",IF(X116&lt;=0.6,"Media",IF(X116&lt;=0.8,"Alta","Muy Alta"))))),"")</f>
        <v/>
      </c>
      <c r="Z116" s="130" t="str">
        <f t="shared" ref="Z116:Z118" si="143">+X116</f>
        <v/>
      </c>
      <c r="AA116" s="129" t="str">
        <f t="shared" si="138"/>
        <v/>
      </c>
      <c r="AB116" s="130" t="str">
        <f t="shared" ref="AB116:AB118" si="144">IFERROR(IF(AND(Q115="Impacto",Q116="Impacto"),(AB115-(+AB115*T116)),IF(AND(Q115="Probabilidad",Q116="Impacto"),(AB114-(+AB114*T116)),IF(Q116="Probabilidad",AB115,""))),"")</f>
        <v/>
      </c>
      <c r="AC116" s="131" t="str">
        <f t="shared" ref="AC116:AC118" si="145">IFERROR(IF(OR(AND(Y116="Muy Baja",AA116="Leve"),AND(Y116="Muy Baja",AA116="Menor"),AND(Y116="Baja",AA116="Leve")),"Bajo",IF(OR(AND(Y116="Muy baja",AA116="Moderado"),AND(Y116="Baja",AA116="Menor"),AND(Y116="Baja",AA116="Moderado"),AND(Y116="Media",AA116="Leve"),AND(Y116="Media",AA116="Menor"),AND(Y116="Media",AA116="Moderado"),AND(Y116="Alta",AA116="Leve"),AND(Y116="Alta",AA116="Menor")),"Moderado",IF(OR(AND(Y116="Muy Baja",AA116="Mayor"),AND(Y116="Baja",AA116="Mayor"),AND(Y116="Media",AA116="Mayor"),AND(Y116="Alta",AA116="Moderado"),AND(Y116="Alta",AA116="Mayor"),AND(Y116="Muy Alta",AA116="Leve"),AND(Y116="Muy Alta",AA116="Menor"),AND(Y116="Muy Alta",AA116="Moderado"),AND(Y116="Muy Alta",AA116="Mayor")),"Alto",IF(OR(AND(Y116="Muy Baja",AA116="Catastrófico"),AND(Y116="Baja",AA116="Catastrófico"),AND(Y116="Media",AA116="Catastrófico"),AND(Y116="Alta",AA116="Catastrófico"),AND(Y116="Muy Alta",AA116="Catastrófico")),"Extremo","")))),"")</f>
        <v/>
      </c>
      <c r="AD116" s="132"/>
      <c r="AE116" s="133"/>
      <c r="AF116" s="134"/>
      <c r="AG116" s="135"/>
      <c r="AH116" s="135"/>
      <c r="AI116" s="133"/>
      <c r="AJ116" s="134"/>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row>
    <row r="117" spans="1:68" ht="151.5" customHeight="1" x14ac:dyDescent="0.15">
      <c r="A117" s="196"/>
      <c r="B117" s="199"/>
      <c r="C117" s="199"/>
      <c r="D117" s="199"/>
      <c r="E117" s="202"/>
      <c r="F117" s="199"/>
      <c r="G117" s="205"/>
      <c r="H117" s="190"/>
      <c r="I117" s="187"/>
      <c r="J117" s="184"/>
      <c r="K117" s="187">
        <f>IF(NOT(ISERROR(MATCH(J117,_xlfn.ANCHORARRAY(E299),0))),I301&amp;"Por favor no seleccionar los criterios de impacto",J117)</f>
        <v>0</v>
      </c>
      <c r="L117" s="190"/>
      <c r="M117" s="187"/>
      <c r="N117" s="193"/>
      <c r="O117" s="123"/>
      <c r="P117" s="124"/>
      <c r="Q117" s="125" t="str">
        <f t="shared" si="140"/>
        <v/>
      </c>
      <c r="R117" s="126"/>
      <c r="S117" s="126"/>
      <c r="T117" s="127" t="str">
        <f t="shared" si="137"/>
        <v/>
      </c>
      <c r="U117" s="126"/>
      <c r="V117" s="126"/>
      <c r="W117" s="126"/>
      <c r="X117" s="128" t="str">
        <f t="shared" si="141"/>
        <v/>
      </c>
      <c r="Y117" s="129" t="str">
        <f t="shared" si="142"/>
        <v/>
      </c>
      <c r="Z117" s="130" t="str">
        <f t="shared" si="143"/>
        <v/>
      </c>
      <c r="AA117" s="129" t="str">
        <f t="shared" si="138"/>
        <v/>
      </c>
      <c r="AB117" s="130" t="str">
        <f t="shared" si="144"/>
        <v/>
      </c>
      <c r="AC117" s="131" t="str">
        <f t="shared" si="145"/>
        <v/>
      </c>
      <c r="AD117" s="132"/>
      <c r="AE117" s="133"/>
      <c r="AF117" s="134"/>
      <c r="AG117" s="135"/>
      <c r="AH117" s="135"/>
      <c r="AI117" s="133"/>
      <c r="AJ117" s="134"/>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row>
    <row r="118" spans="1:68" ht="151.5" customHeight="1" x14ac:dyDescent="0.15">
      <c r="A118" s="197"/>
      <c r="B118" s="200"/>
      <c r="C118" s="200"/>
      <c r="D118" s="200"/>
      <c r="E118" s="203"/>
      <c r="F118" s="200"/>
      <c r="G118" s="206"/>
      <c r="H118" s="191"/>
      <c r="I118" s="188"/>
      <c r="J118" s="185"/>
      <c r="K118" s="188">
        <f>IF(NOT(ISERROR(MATCH(J118,_xlfn.ANCHORARRAY(E300),0))),I302&amp;"Por favor no seleccionar los criterios de impacto",J118)</f>
        <v>0</v>
      </c>
      <c r="L118" s="191"/>
      <c r="M118" s="188"/>
      <c r="N118" s="194"/>
      <c r="O118" s="123"/>
      <c r="P118" s="124"/>
      <c r="Q118" s="125" t="str">
        <f>IF(OR(R118="Preventivo",R118="Detectivo"),"Probabilidad",IF(R118="Correctivo","Impacto",""))</f>
        <v/>
      </c>
      <c r="R118" s="126"/>
      <c r="S118" s="126"/>
      <c r="T118" s="127" t="str">
        <f t="shared" si="137"/>
        <v/>
      </c>
      <c r="U118" s="126"/>
      <c r="V118" s="126"/>
      <c r="W118" s="126"/>
      <c r="X118" s="128" t="str">
        <f t="shared" si="141"/>
        <v/>
      </c>
      <c r="Y118" s="129" t="str">
        <f t="shared" si="142"/>
        <v/>
      </c>
      <c r="Z118" s="130" t="str">
        <f t="shared" si="143"/>
        <v/>
      </c>
      <c r="AA118" s="129" t="str">
        <f t="shared" si="138"/>
        <v/>
      </c>
      <c r="AB118" s="130" t="str">
        <f t="shared" si="144"/>
        <v/>
      </c>
      <c r="AC118" s="131" t="str">
        <f t="shared" si="145"/>
        <v/>
      </c>
      <c r="AD118" s="132"/>
      <c r="AE118" s="133"/>
      <c r="AF118" s="134"/>
      <c r="AG118" s="135"/>
      <c r="AH118" s="135"/>
      <c r="AI118" s="133"/>
      <c r="AJ118" s="134"/>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row>
    <row r="119" spans="1:68" ht="151.5" customHeight="1" x14ac:dyDescent="0.15">
      <c r="A119" s="195">
        <f>+A113+1</f>
        <v>19</v>
      </c>
      <c r="B119" s="198" t="s">
        <v>131</v>
      </c>
      <c r="C119" s="198" t="s">
        <v>272</v>
      </c>
      <c r="D119" s="198"/>
      <c r="E119" s="201" t="s">
        <v>281</v>
      </c>
      <c r="F119" s="198" t="s">
        <v>121</v>
      </c>
      <c r="G119" s="204">
        <v>2</v>
      </c>
      <c r="H119" s="189" t="str">
        <f>IF(G119&lt;=0,"",IF(G119&lt;=2,"Muy Baja",IF(G119&lt;=24,"Baja",IF(G119&lt;=500,"Media",IF(G119&lt;=5000,"Alta","Muy Alta")))))</f>
        <v>Muy Baja</v>
      </c>
      <c r="I119" s="186">
        <f>IF(H119="","",IF(H119="Muy Baja",0.2,IF(H119="Baja",0.4,IF(H119="Media",0.6,IF(H119="Alta",0.8,IF(H119="Muy Alta",1,))))))</f>
        <v>0.2</v>
      </c>
      <c r="J119" s="183" t="s">
        <v>148</v>
      </c>
      <c r="K119" s="186" t="str">
        <f>IF(NOT(ISERROR(MATCH(J119,'Tabla Impacto'!$B$221:$B$223,0))),'Tabla Impacto'!$F$223&amp;"Por favor no seleccionar los criterios de impacto(Afectación Económica o presupuestal y Pérdida Reputacional)",J119)</f>
        <v xml:space="preserve">     Entre 10 y 50 SMLMV </v>
      </c>
      <c r="L119" s="189" t="str">
        <f>IF(OR(K119='Tabla Impacto'!$C$11,K119='Tabla Impacto'!$D$11),"Leve",IF(OR(K119='Tabla Impacto'!$C$12,K119='Tabla Impacto'!$D$12),"Menor",IF(OR(K119='Tabla Impacto'!$C$13,K119='Tabla Impacto'!$D$13),"Moderado",IF(OR(K119='Tabla Impacto'!$C$14,K119='Tabla Impacto'!$D$14),"Mayor",IF(OR(K119='Tabla Impacto'!$C$15,K119='Tabla Impacto'!$D$15),"Catastrófico","")))))</f>
        <v>Menor</v>
      </c>
      <c r="M119" s="186">
        <f>IF(L119="","",IF(L119="Leve",0.2,IF(L119="Menor",0.4,IF(L119="Moderado",0.6,IF(L119="Mayor",0.8,IF(L119="Catastrófico",1,))))))</f>
        <v>0.4</v>
      </c>
      <c r="N119" s="192" t="str">
        <f>IF(OR(AND(H119="Muy Baja",L119="Leve"),AND(H119="Muy Baja",L119="Menor"),AND(H119="Baja",L119="Leve")),"Bajo",IF(OR(AND(H119="Muy baja",L119="Moderado"),AND(H119="Baja",L119="Menor"),AND(H119="Baja",L119="Moderado"),AND(H119="Media",L119="Leve"),AND(H119="Media",L119="Menor"),AND(H119="Media",L119="Moderado"),AND(H119="Alta",L119="Leve"),AND(H119="Alta",L119="Menor")),"Moderado",IF(OR(AND(H119="Muy Baja",L119="Mayor"),AND(H119="Baja",L119="Mayor"),AND(H119="Media",L119="Mayor"),AND(H119="Alta",L119="Moderado"),AND(H119="Alta",L119="Mayor"),AND(H119="Muy Alta",L119="Leve"),AND(H119="Muy Alta",L119="Menor"),AND(H119="Muy Alta",L119="Moderado"),AND(H119="Muy Alta",L119="Mayor")),"Alto",IF(OR(AND(H119="Muy Baja",L119="Catastrófico"),AND(H119="Baja",L119="Catastrófico"),AND(H119="Media",L119="Catastrófico"),AND(H119="Alta",L119="Catastrófico"),AND(H119="Muy Alta",L119="Catastrófico")),"Extremo",""))))</f>
        <v>Bajo</v>
      </c>
      <c r="O119" s="123">
        <v>1</v>
      </c>
      <c r="P119" s="124" t="s">
        <v>275</v>
      </c>
      <c r="Q119" s="125" t="str">
        <f>IF(OR(R119="Preventivo",R119="Detectivo"),"Probabilidad",IF(R119="Correctivo","Impacto",""))</f>
        <v>Probabilidad</v>
      </c>
      <c r="R119" s="126" t="s">
        <v>12</v>
      </c>
      <c r="S119" s="126" t="s">
        <v>8</v>
      </c>
      <c r="T119" s="127" t="str">
        <f>IF(AND(R119="Preventivo",S119="Automático"),"50%",IF(AND(R119="Preventivo",S119="Manual"),"40%",IF(AND(R119="Detectivo",S119="Automático"),"40%",IF(AND(R119="Detectivo",S119="Manual"),"30%",IF(AND(R119="Correctivo",S119="Automático"),"35%",IF(AND(R119="Correctivo",S119="Manual"),"25%",""))))))</f>
        <v>40%</v>
      </c>
      <c r="U119" s="126" t="s">
        <v>17</v>
      </c>
      <c r="V119" s="126" t="s">
        <v>20</v>
      </c>
      <c r="W119" s="126" t="s">
        <v>117</v>
      </c>
      <c r="X119" s="128">
        <f>IFERROR(IF(Q119="Probabilidad",(I119-(+I119*T119)),IF(Q119="Impacto",I119,"")),"")</f>
        <v>0.12</v>
      </c>
      <c r="Y119" s="129" t="str">
        <f>IFERROR(IF(X119="","",IF(X119&lt;=0.2,"Muy Baja",IF(X119&lt;=0.4,"Baja",IF(X119&lt;=0.6,"Media",IF(X119&lt;=0.8,"Alta","Muy Alta"))))),"")</f>
        <v>Muy Baja</v>
      </c>
      <c r="Z119" s="130">
        <f>+X119</f>
        <v>0.12</v>
      </c>
      <c r="AA119" s="129" t="str">
        <f>IFERROR(IF(AB119="","",IF(AB119&lt;=0.2,"Leve",IF(AB119&lt;=0.4,"Menor",IF(AB119&lt;=0.6,"Moderado",IF(AB119&lt;=0.8,"Mayor","Catastrófico"))))),"")</f>
        <v>Menor</v>
      </c>
      <c r="AB119" s="130">
        <f>IFERROR(IF(Q119="Impacto",(M119-(+M119*T119)),IF(Q119="Probabilidad",M119,"")),"")</f>
        <v>0.4</v>
      </c>
      <c r="AC119" s="131" t="str">
        <f>IFERROR(IF(OR(AND(Y119="Muy Baja",AA119="Leve"),AND(Y119="Muy Baja",AA119="Menor"),AND(Y119="Baja",AA119="Leve")),"Bajo",IF(OR(AND(Y119="Muy baja",AA119="Moderado"),AND(Y119="Baja",AA119="Menor"),AND(Y119="Baja",AA119="Moderado"),AND(Y119="Media",AA119="Leve"),AND(Y119="Media",AA119="Menor"),AND(Y119="Media",AA119="Moderado"),AND(Y119="Alta",AA119="Leve"),AND(Y119="Alta",AA119="Menor")),"Moderado",IF(OR(AND(Y119="Muy Baja",AA119="Mayor"),AND(Y119="Baja",AA119="Mayor"),AND(Y119="Media",AA119="Mayor"),AND(Y119="Alta",AA119="Moderado"),AND(Y119="Alta",AA119="Mayor"),AND(Y119="Muy Alta",AA119="Leve"),AND(Y119="Muy Alta",AA119="Menor"),AND(Y119="Muy Alta",AA119="Moderado"),AND(Y119="Muy Alta",AA119="Mayor")),"Alto",IF(OR(AND(Y119="Muy Baja",AA119="Catastrófico"),AND(Y119="Baja",AA119="Catastrófico"),AND(Y119="Media",AA119="Catastrófico"),AND(Y119="Alta",AA119="Catastrófico"),AND(Y119="Muy Alta",AA119="Catastrófico")),"Extremo","")))),"")</f>
        <v>Bajo</v>
      </c>
      <c r="AD119" s="132" t="s">
        <v>29</v>
      </c>
      <c r="AE119" s="143"/>
      <c r="AF119" s="134"/>
      <c r="AG119" s="135"/>
      <c r="AH119" s="135"/>
      <c r="AI119" s="133"/>
      <c r="AJ119" s="134"/>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row>
    <row r="120" spans="1:68" ht="151.5" customHeight="1" x14ac:dyDescent="0.15">
      <c r="A120" s="196"/>
      <c r="B120" s="199"/>
      <c r="C120" s="199"/>
      <c r="D120" s="199"/>
      <c r="E120" s="202"/>
      <c r="F120" s="199"/>
      <c r="G120" s="205"/>
      <c r="H120" s="190"/>
      <c r="I120" s="187"/>
      <c r="J120" s="184"/>
      <c r="K120" s="187">
        <f>IF(NOT(ISERROR(MATCH(J120,_xlfn.ANCHORARRAY(E302),0))),I304&amp;"Por favor no seleccionar los criterios de impacto",J120)</f>
        <v>0</v>
      </c>
      <c r="L120" s="190"/>
      <c r="M120" s="187"/>
      <c r="N120" s="193"/>
      <c r="O120" s="123">
        <v>2</v>
      </c>
      <c r="P120" s="124" t="s">
        <v>238</v>
      </c>
      <c r="Q120" s="125" t="str">
        <f>IF(OR(R120="Preventivo",R120="Detectivo"),"Probabilidad",IF(R120="Correctivo","Impacto",""))</f>
        <v/>
      </c>
      <c r="R120" s="126"/>
      <c r="S120" s="126"/>
      <c r="T120" s="127" t="str">
        <f t="shared" ref="T120:T124" si="146">IF(AND(R120="Preventivo",S120="Automático"),"50%",IF(AND(R120="Preventivo",S120="Manual"),"40%",IF(AND(R120="Detectivo",S120="Automático"),"40%",IF(AND(R120="Detectivo",S120="Manual"),"30%",IF(AND(R120="Correctivo",S120="Automático"),"35%",IF(AND(R120="Correctivo",S120="Manual"),"25%",""))))))</f>
        <v/>
      </c>
      <c r="U120" s="126"/>
      <c r="V120" s="126"/>
      <c r="W120" s="126"/>
      <c r="X120" s="128" t="str">
        <f>IFERROR(IF(AND(Q119="Probabilidad",Q120="Probabilidad"),(Z119-(+Z119*T120)),IF(Q120="Probabilidad",(I119-(+I119*T120)),IF(Q120="Impacto",Z119,""))),"")</f>
        <v/>
      </c>
      <c r="Y120" s="129" t="str">
        <f>IFERROR(IF(X120="","",IF(X120&lt;=0.2,"Muy Baja",IF(X120&lt;=0.4,"Baja",IF(X120&lt;=0.6,"Media",IF(X120&lt;=0.8,"Alta","Muy Alta"))))),"")</f>
        <v/>
      </c>
      <c r="Z120" s="130" t="str">
        <f>+X120</f>
        <v/>
      </c>
      <c r="AA120" s="129" t="str">
        <f t="shared" ref="AA120:AA124" si="147">IFERROR(IF(AB120="","",IF(AB120&lt;=0.2,"Leve",IF(AB120&lt;=0.4,"Menor",IF(AB120&lt;=0.6,"Moderado",IF(AB120&lt;=0.8,"Mayor","Catastrófico"))))),"")</f>
        <v/>
      </c>
      <c r="AB120" s="130" t="str">
        <f>IFERROR(IF(AND(Q119="Impacto",Q120="Impacto"),(AB119-(+AB119*T120)),IF(Q120="Impacto",(M119-(+M119*T120)),IF(Q120="Probabilidad",AB119,""))),"")</f>
        <v/>
      </c>
      <c r="AC120" s="131" t="str">
        <f t="shared" ref="AC120" si="148">IFERROR(IF(OR(AND(Y120="Muy Baja",AA120="Leve"),AND(Y120="Muy Baja",AA120="Menor"),AND(Y120="Baja",AA120="Leve")),"Bajo",IF(OR(AND(Y120="Muy baja",AA120="Moderado"),AND(Y120="Baja",AA120="Menor"),AND(Y120="Baja",AA120="Moderado"),AND(Y120="Media",AA120="Leve"),AND(Y120="Media",AA120="Menor"),AND(Y120="Media",AA120="Moderado"),AND(Y120="Alta",AA120="Leve"),AND(Y120="Alta",AA120="Menor")),"Moderado",IF(OR(AND(Y120="Muy Baja",AA120="Mayor"),AND(Y120="Baja",AA120="Mayor"),AND(Y120="Media",AA120="Mayor"),AND(Y120="Alta",AA120="Moderado"),AND(Y120="Alta",AA120="Mayor"),AND(Y120="Muy Alta",AA120="Leve"),AND(Y120="Muy Alta",AA120="Menor"),AND(Y120="Muy Alta",AA120="Moderado"),AND(Y120="Muy Alta",AA120="Mayor")),"Alto",IF(OR(AND(Y120="Muy Baja",AA120="Catastrófico"),AND(Y120="Baja",AA120="Catastrófico"),AND(Y120="Media",AA120="Catastrófico"),AND(Y120="Alta",AA120="Catastrófico"),AND(Y120="Muy Alta",AA120="Catastrófico")),"Extremo","")))),"")</f>
        <v/>
      </c>
      <c r="AD120" s="132"/>
      <c r="AE120" s="133" t="s">
        <v>333</v>
      </c>
      <c r="AF120" s="134"/>
      <c r="AG120" s="135"/>
      <c r="AH120" s="135"/>
      <c r="AI120" s="133"/>
      <c r="AJ120" s="134"/>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row>
    <row r="121" spans="1:68" ht="151.5" customHeight="1" x14ac:dyDescent="0.15">
      <c r="A121" s="196"/>
      <c r="B121" s="199"/>
      <c r="C121" s="199"/>
      <c r="D121" s="199"/>
      <c r="E121" s="202"/>
      <c r="F121" s="199"/>
      <c r="G121" s="205"/>
      <c r="H121" s="190"/>
      <c r="I121" s="187"/>
      <c r="J121" s="184"/>
      <c r="K121" s="187">
        <f>IF(NOT(ISERROR(MATCH(J121,_xlfn.ANCHORARRAY(E303),0))),I305&amp;"Por favor no seleccionar los criterios de impacto",J121)</f>
        <v>0</v>
      </c>
      <c r="L121" s="190"/>
      <c r="M121" s="187"/>
      <c r="N121" s="193"/>
      <c r="O121" s="123"/>
      <c r="P121" s="136"/>
      <c r="Q121" s="125" t="str">
        <f>IF(OR(R121="Preventivo",R121="Detectivo"),"Probabilidad",IF(R121="Correctivo","Impacto",""))</f>
        <v/>
      </c>
      <c r="R121" s="126"/>
      <c r="S121" s="126"/>
      <c r="T121" s="127" t="str">
        <f t="shared" si="146"/>
        <v/>
      </c>
      <c r="U121" s="126"/>
      <c r="V121" s="126"/>
      <c r="W121" s="126"/>
      <c r="X121" s="128" t="str">
        <f>IFERROR(IF(AND(Q120="Probabilidad",Q121="Probabilidad"),(Z120-(+Z120*T121)),IF(AND(Q120="Impacto",Q121="Probabilidad"),(Z119-(+Z119*T121)),IF(Q121="Impacto",Z120,""))),"")</f>
        <v/>
      </c>
      <c r="Y121" s="129" t="str">
        <f>IFERROR(IF(X121="","",IF(X121&lt;=0.2,"Muy Baja",IF(X121&lt;=0.4,"Baja",IF(X121&lt;=0.6,"Media",IF(X121&lt;=0.8,"Alta","Muy Alta"))))),"")</f>
        <v/>
      </c>
      <c r="Z121" s="130" t="str">
        <f>+X121</f>
        <v/>
      </c>
      <c r="AA121" s="129" t="str">
        <f t="shared" si="147"/>
        <v/>
      </c>
      <c r="AB121" s="130" t="str">
        <f>IFERROR(IF(AND(Q120="Impacto",Q121="Impacto"),(AB120-(+AB120*T121)),IF(AND(Q120="Probabilidad",Q121="Impacto"),(AB119-(+AB119*T121)),IF(Q121="Probabilidad",AB120,""))),"")</f>
        <v/>
      </c>
      <c r="AC121" s="131" t="str">
        <f>IFERROR(IF(OR(AND(Y121="Muy Baja",AA121="Leve"),AND(Y121="Muy Baja",AA121="Menor"),AND(Y121="Baja",AA121="Leve")),"Bajo",IF(OR(AND(Y121="Muy baja",AA121="Moderado"),AND(Y121="Baja",AA121="Menor"),AND(Y121="Baja",AA121="Moderado"),AND(Y121="Media",AA121="Leve"),AND(Y121="Media",AA121="Menor"),AND(Y121="Media",AA121="Moderado"),AND(Y121="Alta",AA121="Leve"),AND(Y121="Alta",AA121="Menor")),"Moderado",IF(OR(AND(Y121="Muy Baja",AA121="Mayor"),AND(Y121="Baja",AA121="Mayor"),AND(Y121="Media",AA121="Mayor"),AND(Y121="Alta",AA121="Moderado"),AND(Y121="Alta",AA121="Mayor"),AND(Y121="Muy Alta",AA121="Leve"),AND(Y121="Muy Alta",AA121="Menor"),AND(Y121="Muy Alta",AA121="Moderado"),AND(Y121="Muy Alta",AA121="Mayor")),"Alto",IF(OR(AND(Y121="Muy Baja",AA121="Catastrófico"),AND(Y121="Baja",AA121="Catastrófico"),AND(Y121="Media",AA121="Catastrófico"),AND(Y121="Alta",AA121="Catastrófico"),AND(Y121="Muy Alta",AA121="Catastrófico")),"Extremo","")))),"")</f>
        <v/>
      </c>
      <c r="AD121" s="132"/>
      <c r="AE121" s="133"/>
      <c r="AF121" s="134"/>
      <c r="AG121" s="135"/>
      <c r="AH121" s="135"/>
      <c r="AI121" s="133"/>
      <c r="AJ121" s="134"/>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row>
    <row r="122" spans="1:68" ht="151.5" customHeight="1" x14ac:dyDescent="0.15">
      <c r="A122" s="196"/>
      <c r="B122" s="199"/>
      <c r="C122" s="199"/>
      <c r="D122" s="199"/>
      <c r="E122" s="202"/>
      <c r="F122" s="199"/>
      <c r="G122" s="205"/>
      <c r="H122" s="190"/>
      <c r="I122" s="187"/>
      <c r="J122" s="184"/>
      <c r="K122" s="187">
        <f>IF(NOT(ISERROR(MATCH(J122,_xlfn.ANCHORARRAY(E304),0))),I306&amp;"Por favor no seleccionar los criterios de impacto",J122)</f>
        <v>0</v>
      </c>
      <c r="L122" s="190"/>
      <c r="M122" s="187"/>
      <c r="N122" s="193"/>
      <c r="O122" s="123"/>
      <c r="P122" s="124"/>
      <c r="Q122" s="125" t="str">
        <f t="shared" ref="Q122:Q123" si="149">IF(OR(R122="Preventivo",R122="Detectivo"),"Probabilidad",IF(R122="Correctivo","Impacto",""))</f>
        <v/>
      </c>
      <c r="R122" s="126"/>
      <c r="S122" s="126"/>
      <c r="T122" s="127" t="str">
        <f t="shared" si="146"/>
        <v/>
      </c>
      <c r="U122" s="126"/>
      <c r="V122" s="126"/>
      <c r="W122" s="126"/>
      <c r="X122" s="128" t="str">
        <f t="shared" ref="X122:X124" si="150">IFERROR(IF(AND(Q121="Probabilidad",Q122="Probabilidad"),(Z121-(+Z121*T122)),IF(AND(Q121="Impacto",Q122="Probabilidad"),(Z120-(+Z120*T122)),IF(Q122="Impacto",Z121,""))),"")</f>
        <v/>
      </c>
      <c r="Y122" s="129" t="str">
        <f t="shared" ref="Y122:Y124" si="151">IFERROR(IF(X122="","",IF(X122&lt;=0.2,"Muy Baja",IF(X122&lt;=0.4,"Baja",IF(X122&lt;=0.6,"Media",IF(X122&lt;=0.8,"Alta","Muy Alta"))))),"")</f>
        <v/>
      </c>
      <c r="Z122" s="130" t="str">
        <f t="shared" ref="Z122:Z124" si="152">+X122</f>
        <v/>
      </c>
      <c r="AA122" s="129" t="str">
        <f t="shared" si="147"/>
        <v/>
      </c>
      <c r="AB122" s="130" t="str">
        <f t="shared" ref="AB122:AB124" si="153">IFERROR(IF(AND(Q121="Impacto",Q122="Impacto"),(AB121-(+AB121*T122)),IF(AND(Q121="Probabilidad",Q122="Impacto"),(AB120-(+AB120*T122)),IF(Q122="Probabilidad",AB121,""))),"")</f>
        <v/>
      </c>
      <c r="AC122" s="131" t="str">
        <f t="shared" ref="AC122:AC124" si="154">IFERROR(IF(OR(AND(Y122="Muy Baja",AA122="Leve"),AND(Y122="Muy Baja",AA122="Menor"),AND(Y122="Baja",AA122="Leve")),"Bajo",IF(OR(AND(Y122="Muy baja",AA122="Moderado"),AND(Y122="Baja",AA122="Menor"),AND(Y122="Baja",AA122="Moderado"),AND(Y122="Media",AA122="Leve"),AND(Y122="Media",AA122="Menor"),AND(Y122="Media",AA122="Moderado"),AND(Y122="Alta",AA122="Leve"),AND(Y122="Alta",AA122="Menor")),"Moderado",IF(OR(AND(Y122="Muy Baja",AA122="Mayor"),AND(Y122="Baja",AA122="Mayor"),AND(Y122="Media",AA122="Mayor"),AND(Y122="Alta",AA122="Moderado"),AND(Y122="Alta",AA122="Mayor"),AND(Y122="Muy Alta",AA122="Leve"),AND(Y122="Muy Alta",AA122="Menor"),AND(Y122="Muy Alta",AA122="Moderado"),AND(Y122="Muy Alta",AA122="Mayor")),"Alto",IF(OR(AND(Y122="Muy Baja",AA122="Catastrófico"),AND(Y122="Baja",AA122="Catastrófico"),AND(Y122="Media",AA122="Catastrófico"),AND(Y122="Alta",AA122="Catastrófico"),AND(Y122="Muy Alta",AA122="Catastrófico")),"Extremo","")))),"")</f>
        <v/>
      </c>
      <c r="AD122" s="132"/>
      <c r="AE122" s="133"/>
      <c r="AF122" s="134"/>
      <c r="AG122" s="135"/>
      <c r="AH122" s="135"/>
      <c r="AI122" s="133"/>
      <c r="AJ122" s="134"/>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row>
    <row r="123" spans="1:68" ht="151.5" customHeight="1" x14ac:dyDescent="0.15">
      <c r="A123" s="196"/>
      <c r="B123" s="199"/>
      <c r="C123" s="199"/>
      <c r="D123" s="199"/>
      <c r="E123" s="202"/>
      <c r="F123" s="199"/>
      <c r="G123" s="205"/>
      <c r="H123" s="190"/>
      <c r="I123" s="187"/>
      <c r="J123" s="184"/>
      <c r="K123" s="187">
        <f>IF(NOT(ISERROR(MATCH(J123,_xlfn.ANCHORARRAY(E305),0))),I307&amp;"Por favor no seleccionar los criterios de impacto",J123)</f>
        <v>0</v>
      </c>
      <c r="L123" s="190"/>
      <c r="M123" s="187"/>
      <c r="N123" s="193"/>
      <c r="O123" s="123"/>
      <c r="P123" s="124"/>
      <c r="Q123" s="125" t="str">
        <f t="shared" si="149"/>
        <v/>
      </c>
      <c r="R123" s="126"/>
      <c r="S123" s="126"/>
      <c r="T123" s="127" t="str">
        <f t="shared" si="146"/>
        <v/>
      </c>
      <c r="U123" s="126"/>
      <c r="V123" s="126"/>
      <c r="W123" s="126"/>
      <c r="X123" s="128" t="str">
        <f t="shared" si="150"/>
        <v/>
      </c>
      <c r="Y123" s="129" t="str">
        <f t="shared" si="151"/>
        <v/>
      </c>
      <c r="Z123" s="130" t="str">
        <f t="shared" si="152"/>
        <v/>
      </c>
      <c r="AA123" s="129" t="str">
        <f t="shared" si="147"/>
        <v/>
      </c>
      <c r="AB123" s="130" t="str">
        <f t="shared" si="153"/>
        <v/>
      </c>
      <c r="AC123" s="131" t="str">
        <f t="shared" si="154"/>
        <v/>
      </c>
      <c r="AD123" s="132"/>
      <c r="AE123" s="133"/>
      <c r="AF123" s="134"/>
      <c r="AG123" s="135"/>
      <c r="AH123" s="135"/>
      <c r="AI123" s="133"/>
      <c r="AJ123" s="134"/>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row>
    <row r="124" spans="1:68" ht="151.5" customHeight="1" x14ac:dyDescent="0.15">
      <c r="A124" s="197"/>
      <c r="B124" s="200"/>
      <c r="C124" s="200"/>
      <c r="D124" s="200"/>
      <c r="E124" s="203"/>
      <c r="F124" s="200"/>
      <c r="G124" s="206"/>
      <c r="H124" s="191"/>
      <c r="I124" s="188"/>
      <c r="J124" s="185"/>
      <c r="K124" s="188">
        <f>IF(NOT(ISERROR(MATCH(J124,_xlfn.ANCHORARRAY(E306),0))),I308&amp;"Por favor no seleccionar los criterios de impacto",J124)</f>
        <v>0</v>
      </c>
      <c r="L124" s="191"/>
      <c r="M124" s="188"/>
      <c r="N124" s="194"/>
      <c r="O124" s="123"/>
      <c r="P124" s="124"/>
      <c r="Q124" s="125" t="str">
        <f>IF(OR(R124="Preventivo",R124="Detectivo"),"Probabilidad",IF(R124="Correctivo","Impacto",""))</f>
        <v/>
      </c>
      <c r="R124" s="126"/>
      <c r="S124" s="126"/>
      <c r="T124" s="127" t="str">
        <f t="shared" si="146"/>
        <v/>
      </c>
      <c r="U124" s="126"/>
      <c r="V124" s="126"/>
      <c r="W124" s="126"/>
      <c r="X124" s="128" t="str">
        <f t="shared" si="150"/>
        <v/>
      </c>
      <c r="Y124" s="129" t="str">
        <f t="shared" si="151"/>
        <v/>
      </c>
      <c r="Z124" s="130" t="str">
        <f t="shared" si="152"/>
        <v/>
      </c>
      <c r="AA124" s="129" t="str">
        <f t="shared" si="147"/>
        <v/>
      </c>
      <c r="AB124" s="130" t="str">
        <f t="shared" si="153"/>
        <v/>
      </c>
      <c r="AC124" s="131" t="str">
        <f t="shared" si="154"/>
        <v/>
      </c>
      <c r="AD124" s="132"/>
      <c r="AE124" s="133"/>
      <c r="AF124" s="134"/>
      <c r="AG124" s="135"/>
      <c r="AH124" s="135"/>
      <c r="AI124" s="133"/>
      <c r="AJ124" s="134"/>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row>
    <row r="125" spans="1:68" ht="151.5" customHeight="1" x14ac:dyDescent="0.15">
      <c r="A125" s="195">
        <f>+A119+1</f>
        <v>20</v>
      </c>
      <c r="B125" s="198" t="s">
        <v>131</v>
      </c>
      <c r="C125" s="198" t="s">
        <v>283</v>
      </c>
      <c r="D125" s="198"/>
      <c r="E125" s="201" t="s">
        <v>282</v>
      </c>
      <c r="F125" s="198" t="s">
        <v>121</v>
      </c>
      <c r="G125" s="204">
        <v>500</v>
      </c>
      <c r="H125" s="189" t="str">
        <f>IF(G125&lt;=0,"",IF(G125&lt;=2,"Muy Baja",IF(G125&lt;=24,"Baja",IF(G125&lt;=500,"Media",IF(G125&lt;=5000,"Alta","Muy Alta")))))</f>
        <v>Media</v>
      </c>
      <c r="I125" s="186">
        <f>IF(H125="","",IF(H125="Muy Baja",0.2,IF(H125="Baja",0.4,IF(H125="Media",0.6,IF(H125="Alta",0.8,IF(H125="Muy Alta",1,))))))</f>
        <v>0.6</v>
      </c>
      <c r="J125" s="183" t="s">
        <v>150</v>
      </c>
      <c r="K125" s="186" t="str">
        <f>IF(NOT(ISERROR(MATCH(J125,'Tabla Impacto'!$B$221:$B$223,0))),'Tabla Impacto'!$F$223&amp;"Por favor no seleccionar los criterios de impacto(Afectación Económica o presupuestal y Pérdida Reputacional)",J125)</f>
        <v xml:space="preserve">     Mayor a 500 SMLMV </v>
      </c>
      <c r="L125" s="189" t="str">
        <f>IF(OR(K125='Tabla Impacto'!$C$11,K125='Tabla Impacto'!$D$11),"Leve",IF(OR(K125='Tabla Impacto'!$C$12,K125='Tabla Impacto'!$D$12),"Menor",IF(OR(K125='Tabla Impacto'!$C$13,K125='Tabla Impacto'!$D$13),"Moderado",IF(OR(K125='Tabla Impacto'!$C$14,K125='Tabla Impacto'!$D$14),"Mayor",IF(OR(K125='Tabla Impacto'!$C$15,K125='Tabla Impacto'!$D$15),"Catastrófico","")))))</f>
        <v>Catastrófico</v>
      </c>
      <c r="M125" s="186">
        <f>IF(L125="","",IF(L125="Leve",0.2,IF(L125="Menor",0.4,IF(L125="Moderado",0.6,IF(L125="Mayor",0.8,IF(L125="Catastrófico",1,))))))</f>
        <v>1</v>
      </c>
      <c r="N125" s="192" t="str">
        <f>IF(OR(AND(H125="Muy Baja",L125="Leve"),AND(H125="Muy Baja",L125="Menor"),AND(H125="Baja",L125="Leve")),"Bajo",IF(OR(AND(H125="Muy baja",L125="Moderado"),AND(H125="Baja",L125="Menor"),AND(H125="Baja",L125="Moderado"),AND(H125="Media",L125="Leve"),AND(H125="Media",L125="Menor"),AND(H125="Media",L125="Moderado"),AND(H125="Alta",L125="Leve"),AND(H125="Alta",L125="Menor")),"Moderado",IF(OR(AND(H125="Muy Baja",L125="Mayor"),AND(H125="Baja",L125="Mayor"),AND(H125="Media",L125="Mayor"),AND(H125="Alta",L125="Moderado"),AND(H125="Alta",L125="Mayor"),AND(H125="Muy Alta",L125="Leve"),AND(H125="Muy Alta",L125="Menor"),AND(H125="Muy Alta",L125="Moderado"),AND(H125="Muy Alta",L125="Mayor")),"Alto",IF(OR(AND(H125="Muy Baja",L125="Catastrófico"),AND(H125="Baja",L125="Catastrófico"),AND(H125="Media",L125="Catastrófico"),AND(H125="Alta",L125="Catastrófico"),AND(H125="Muy Alta",L125="Catastrófico")),"Extremo",""))))</f>
        <v>Extremo</v>
      </c>
      <c r="O125" s="123">
        <v>1</v>
      </c>
      <c r="P125" s="124" t="s">
        <v>275</v>
      </c>
      <c r="Q125" s="125" t="str">
        <f>IF(OR(R125="Preventivo",R125="Detectivo"),"Probabilidad",IF(R125="Correctivo","Impacto",""))</f>
        <v>Probabilidad</v>
      </c>
      <c r="R125" s="126" t="s">
        <v>13</v>
      </c>
      <c r="S125" s="126" t="s">
        <v>9</v>
      </c>
      <c r="T125" s="127" t="str">
        <f>IF(AND(R125="Preventivo",S125="Automático"),"60%",IF(AND(R125="Preventivo",S125="Manual"),"40%",IF(AND(R125="Detectivo",S125="Automático"),"67%",IF(AND(R125="Detectivo",S125="Manual"),"30%",IF(AND(R125="Correctivo",S125="Automático"),"35%",IF(AND(R125="Correctivo",S125="Manual"),"25%",""))))))</f>
        <v>67%</v>
      </c>
      <c r="U125" s="126" t="s">
        <v>17</v>
      </c>
      <c r="V125" s="126" t="s">
        <v>20</v>
      </c>
      <c r="W125" s="126" t="s">
        <v>117</v>
      </c>
      <c r="X125" s="128">
        <f>IFERROR(IF(Q125="Probabilidad",(I125-(+I125*T125)),IF(Q125="Impacto",I125,"")),"")</f>
        <v>0.19799999999999995</v>
      </c>
      <c r="Y125" s="129" t="str">
        <f>IFERROR(IF(X125="","",IF(X125&lt;=0.2,"Muy Baja",IF(X125&lt;=0.4,"Baja",IF(X125&lt;=0.6,"Media",IF(X125&lt;=0.8,"Alta","Muy Alta"))))),"")</f>
        <v>Muy Baja</v>
      </c>
      <c r="Z125" s="130">
        <f>+X125</f>
        <v>0.19799999999999995</v>
      </c>
      <c r="AA125" s="129" t="str">
        <f>IFERROR(IF(AB125="","",IF(AB125&lt;=0.2,"Leve",IF(AB125&lt;=0.4,"Menor",IF(AB125&lt;=0.6,"Moderado",IF(AB125&lt;=0.8,"Mayor","Catastrófico"))))),"")</f>
        <v>Catastrófico</v>
      </c>
      <c r="AB125" s="130">
        <f>IFERROR(IF(Q125="Impacto",(M125-(+M125*T125)),IF(Q125="Probabilidad",M125,"")),"")</f>
        <v>1</v>
      </c>
      <c r="AC125" s="131" t="str">
        <f>IFERROR(IF(OR(AND(Y125="Muy Baja",AA125="Leve"),AND(Y125="Muy Baja",AA125="Menor"),AND(Y125="Baja",AA125="Leve")),"Bajo",IF(OR(AND(Y125="Muy baja",AA125="Moderado"),AND(Y125="Baja",AA125="Menor"),AND(Y125="Baja",AA125="Moderado"),AND(Y125="Media",AA125="Leve"),AND(Y125="Media",AA125="Menor"),AND(Y125="Media",AA125="Moderado"),AND(Y125="Alta",AA125="Leve"),AND(Y125="Alta",AA125="Menor")),"Moderado",IF(OR(AND(Y125="Muy Baja",AA125="Mayor"),AND(Y125="Baja",AA125="Mayor"),AND(Y125="Media",AA125="Mayor"),AND(Y125="Alta",AA125="Moderado"),AND(Y125="Alta",AA125="Mayor"),AND(Y125="Muy Alta",AA125="Leve"),AND(Y125="Muy Alta",AA125="Menor"),AND(Y125="Muy Alta",AA125="Moderado"),AND(Y125="Muy Alta",AA125="Mayor")),"Alto",IF(OR(AND(Y125="Muy Baja",AA125="Catastrófico"),AND(Y125="Baja",AA125="Catastrófico"),AND(Y125="Media",AA125="Catastrófico"),AND(Y125="Alta",AA125="Catastrófico"),AND(Y125="Muy Alta",AA125="Catastrófico")),"Extremo","")))),"")</f>
        <v>Extremo</v>
      </c>
      <c r="AD125" s="132" t="s">
        <v>134</v>
      </c>
      <c r="AE125" s="133" t="s">
        <v>334</v>
      </c>
      <c r="AF125" s="134"/>
      <c r="AG125" s="135"/>
      <c r="AH125" s="135"/>
      <c r="AI125" s="133"/>
      <c r="AJ125" s="134"/>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row>
    <row r="126" spans="1:68" ht="151.5" customHeight="1" x14ac:dyDescent="0.15">
      <c r="A126" s="196"/>
      <c r="B126" s="199"/>
      <c r="C126" s="199"/>
      <c r="D126" s="199"/>
      <c r="E126" s="202"/>
      <c r="F126" s="199"/>
      <c r="G126" s="205"/>
      <c r="H126" s="190"/>
      <c r="I126" s="187"/>
      <c r="J126" s="184"/>
      <c r="K126" s="187">
        <f>IF(NOT(ISERROR(MATCH(J126,_xlfn.ANCHORARRAY(E314),0))),I316&amp;"Por favor no seleccionar los criterios de impacto",J126)</f>
        <v>0</v>
      </c>
      <c r="L126" s="190"/>
      <c r="M126" s="187"/>
      <c r="N126" s="193"/>
      <c r="O126" s="123"/>
      <c r="P126" s="124"/>
      <c r="Q126" s="125" t="str">
        <f>IF(OR(R126="Preventivo",R126="Detectivo"),"Probabilidad",IF(R126="Correctivo","Impacto",""))</f>
        <v/>
      </c>
      <c r="R126" s="126"/>
      <c r="S126" s="126"/>
      <c r="T126" s="127" t="str">
        <f>IF(AND(R126="Preventivo",S126="Automático"),"50%",IF(AND(R126="Preventivo",S126="Manual"),"40%",IF(AND(R126="Detectivo",S126="Automático"),"40%",IF(AND(R126="Detectivo",S126="Manual"),"30%",IF(AND(R126="Correctivo",S126="Automático"),"60%",IF(AND(R126="Correctivo",S126="Manual"),"25%",""))))))</f>
        <v/>
      </c>
      <c r="U126" s="126"/>
      <c r="V126" s="126"/>
      <c r="W126" s="126"/>
      <c r="X126" s="128" t="str">
        <f>IFERROR(IF(AND(Q125="Probabilidad",Q126="Probabilidad"),(Z125-(+Z125*T126)),IF(Q126="Probabilidad",(I125-(+I125*T126)),IF(Q126="Impacto",Z125,""))),"")</f>
        <v/>
      </c>
      <c r="Y126" s="129" t="str">
        <f>IFERROR(IF(X126="","",IF(X126&lt;=0.2,"Muy Baja",IF(X126&lt;=0.4,"Baja",IF(X126&lt;=0.6,"Media",IF(X126&lt;=0.8,"Alta","Muy Alta"))))),"")</f>
        <v/>
      </c>
      <c r="Z126" s="130" t="str">
        <f>+X126</f>
        <v/>
      </c>
      <c r="AA126" s="129" t="str">
        <f t="shared" ref="AA126:AA130" si="155">IFERROR(IF(AB126="","",IF(AB126&lt;=0.2,"Leve",IF(AB126&lt;=0.4,"Menor",IF(AB126&lt;=0.6,"Moderado",IF(AB126&lt;=0.8,"Mayor","Catastrófico"))))),"")</f>
        <v/>
      </c>
      <c r="AB126" s="130" t="str">
        <f>IFERROR(IF(AND(Q125="Impacto",Q126="Impacto"),(AB125-(+AB125*T126)),IF(Q126="Impacto",(M125-(+M125*T126)),IF(Q126="Probabilidad",AB125,""))),"")</f>
        <v/>
      </c>
      <c r="AC126" s="131" t="str">
        <f>IFERROR(IF(OR(AND(Y126="Muy Baja",AA126="Leve"),AND(Y126="Muy Baja",AA126="Menor"),AND(Y126="Baja",AA126="Leve")),"Bajo",IF(OR(AND(Y126="Muy baja",AA126="Moderado"),AND(Y126="Baja",AA126="Menor"),AND(Y126="Baja",AA126="Moderado"),AND(Y126="Media",AA126="Leve"),AND(Y126="Media",AA126="Menor"),AND(Y126="Media",AA126="Moderado"),AND(Y126="Alta",AA126="Leve"),AND(Y126="Alta",AA126="Menor")),"Moderado",IF(OR(AND(Y126="Muy Baja",AA126="Mayor"),AND(Y126="Baja",AA126="Mayor"),AND(Y126="Media",AA126="Mayor"),AND(Y126="Alta",AA126="Moderado"),AND(Y126="Alta",AA126="Mayor"),AND(Y126="Muy Alta",AA126="Leve"),AND(Y126="Muy Alta",AA126="Menor"),AND(Y126="Muy Alta",AA126="Moderado"),AND(Y126="Muy Alta",AA126="Mayor")),"Alto",IF(OR(AND(Y126="Muy Baja",AA126="Catastrófico"),AND(Y126="Baja",AA126="Catastrófico"),AND(Y126="Media",AA126="Catastrófico"),AND(Y126="Alta",AA126="Catastrófico"),AND(Y126="Muy Alta",AA126="Catastrófico")),"Extremo","")))),"")</f>
        <v/>
      </c>
      <c r="AD126" s="132"/>
      <c r="AE126" s="133" t="s">
        <v>335</v>
      </c>
      <c r="AF126" s="134"/>
      <c r="AG126" s="135"/>
      <c r="AH126" s="135"/>
      <c r="AI126" s="133"/>
      <c r="AJ126" s="134"/>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row>
    <row r="127" spans="1:68" ht="151.5" customHeight="1" x14ac:dyDescent="0.15">
      <c r="A127" s="196"/>
      <c r="B127" s="199"/>
      <c r="C127" s="199"/>
      <c r="D127" s="199"/>
      <c r="E127" s="202"/>
      <c r="F127" s="199"/>
      <c r="G127" s="205"/>
      <c r="H127" s="190"/>
      <c r="I127" s="187"/>
      <c r="J127" s="184"/>
      <c r="K127" s="187">
        <f>IF(NOT(ISERROR(MATCH(J127,_xlfn.ANCHORARRAY(E315),0))),I317&amp;"Por favor no seleccionar los criterios de impacto",J127)</f>
        <v>0</v>
      </c>
      <c r="L127" s="190"/>
      <c r="M127" s="187"/>
      <c r="N127" s="193"/>
      <c r="O127" s="123"/>
      <c r="P127" s="136"/>
      <c r="Q127" s="125" t="str">
        <f>IF(OR(R127="Preventivo",R127="Detectivo"),"Probabilidad",IF(R127="Correctivo","Impacto",""))</f>
        <v/>
      </c>
      <c r="R127" s="126"/>
      <c r="S127" s="126"/>
      <c r="T127" s="127" t="str">
        <f>IF(AND(R127="Preventivo",S127="Automático"),"50%",IF(AND(R127="Preventivo",S127="Manual"),"40%",IF(AND(R127="Detectivo",S127="Automático"),"40%",IF(AND(R127="Detectivo",S127="Manual"),"30%",IF(AND(R127="Correctivo",S127="Automático"),"35%",IF(AND(R127="Correctivo",S127="Manual"),"25%",""))))))</f>
        <v/>
      </c>
      <c r="U127" s="126"/>
      <c r="V127" s="126"/>
      <c r="W127" s="126"/>
      <c r="X127" s="128" t="str">
        <f>IFERROR(IF(AND(Q126="Probabilidad",Q127="Probabilidad"),(Z126-(+Z126*T127)),IF(AND(Q126="Impacto",Q127="Probabilidad"),(Z125-(+Z125*T127)),IF(Q127="Impacto",Z126,""))),"")</f>
        <v/>
      </c>
      <c r="Y127" s="129" t="str">
        <f>IFERROR(IF(X127="","",IF(X127&lt;=0.2,"Muy Baja",IF(X127&lt;=0.4,"Baja",IF(X127&lt;=0.6,"Media",IF(X127&lt;=0.8,"Alta","Muy Alta"))))),"")</f>
        <v/>
      </c>
      <c r="Z127" s="130" t="str">
        <f>+X127</f>
        <v/>
      </c>
      <c r="AA127" s="129" t="str">
        <f t="shared" si="155"/>
        <v/>
      </c>
      <c r="AB127" s="130" t="str">
        <f>IFERROR(IF(AND(Q126="Impacto",Q127="Impacto"),(AB126-(+AB126*T127)),IF(AND(Q126="Probabilidad",Q127="Impacto"),(AB125-(+AB125*T127)),IF(Q127="Probabilidad",AB126,""))),"")</f>
        <v/>
      </c>
      <c r="AC127" s="131" t="str">
        <f>IFERROR(IF(OR(AND(Y127="Muy Baja",AA127="Leve"),AND(Y127="Muy Baja",AA127="Menor"),AND(Y127="Baja",AA127="Leve")),"Bajo",IF(OR(AND(Y127="Muy baja",AA127="Moderado"),AND(Y127="Baja",AA127="Menor"),AND(Y127="Baja",AA127="Moderado"),AND(Y127="Media",AA127="Leve"),AND(Y127="Media",AA127="Menor"),AND(Y127="Media",AA127="Moderado"),AND(Y127="Alta",AA127="Leve"),AND(Y127="Alta",AA127="Menor")),"Moderado",IF(OR(AND(Y127="Muy Baja",AA127="Mayor"),AND(Y127="Baja",AA127="Mayor"),AND(Y127="Media",AA127="Mayor"),AND(Y127="Alta",AA127="Moderado"),AND(Y127="Alta",AA127="Mayor"),AND(Y127="Muy Alta",AA127="Leve"),AND(Y127="Muy Alta",AA127="Menor"),AND(Y127="Muy Alta",AA127="Moderado"),AND(Y127="Muy Alta",AA127="Mayor")),"Alto",IF(OR(AND(Y127="Muy Baja",AA127="Catastrófico"),AND(Y127="Baja",AA127="Catastrófico"),AND(Y127="Media",AA127="Catastrófico"),AND(Y127="Alta",AA127="Catastrófico"),AND(Y127="Muy Alta",AA127="Catastrófico")),"Extremo","")))),"")</f>
        <v/>
      </c>
      <c r="AD127" s="132"/>
      <c r="AE127" s="133"/>
      <c r="AF127" s="134"/>
      <c r="AG127" s="135"/>
      <c r="AH127" s="135"/>
      <c r="AI127" s="133"/>
      <c r="AJ127" s="134"/>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row>
    <row r="128" spans="1:68" ht="151.5" customHeight="1" x14ac:dyDescent="0.15">
      <c r="A128" s="196"/>
      <c r="B128" s="199"/>
      <c r="C128" s="199"/>
      <c r="D128" s="199"/>
      <c r="E128" s="202"/>
      <c r="F128" s="199"/>
      <c r="G128" s="205"/>
      <c r="H128" s="190"/>
      <c r="I128" s="187"/>
      <c r="J128" s="184"/>
      <c r="K128" s="187">
        <f>IF(NOT(ISERROR(MATCH(J128,_xlfn.ANCHORARRAY(E316),0))),I318&amp;"Por favor no seleccionar los criterios de impacto",J128)</f>
        <v>0</v>
      </c>
      <c r="L128" s="190"/>
      <c r="M128" s="187"/>
      <c r="N128" s="193"/>
      <c r="O128" s="123"/>
      <c r="P128" s="124"/>
      <c r="Q128" s="125" t="str">
        <f t="shared" ref="Q128:Q129" si="156">IF(OR(R128="Preventivo",R128="Detectivo"),"Probabilidad",IF(R128="Correctivo","Impacto",""))</f>
        <v/>
      </c>
      <c r="R128" s="126"/>
      <c r="S128" s="126"/>
      <c r="T128" s="127" t="str">
        <f t="shared" ref="T128:T130" si="157">IF(AND(R128="Preventivo",S128="Automático"),"50%",IF(AND(R128="Preventivo",S128="Manual"),"40%",IF(AND(R128="Detectivo",S128="Automático"),"40%",IF(AND(R128="Detectivo",S128="Manual"),"30%",IF(AND(R128="Correctivo",S128="Automático"),"35%",IF(AND(R128="Correctivo",S128="Manual"),"25%",""))))))</f>
        <v/>
      </c>
      <c r="U128" s="126"/>
      <c r="V128" s="126"/>
      <c r="W128" s="126"/>
      <c r="X128" s="128" t="str">
        <f t="shared" ref="X128:X130" si="158">IFERROR(IF(AND(Q127="Probabilidad",Q128="Probabilidad"),(Z127-(+Z127*T128)),IF(AND(Q127="Impacto",Q128="Probabilidad"),(Z126-(+Z126*T128)),IF(Q128="Impacto",Z127,""))),"")</f>
        <v/>
      </c>
      <c r="Y128" s="129" t="str">
        <f t="shared" ref="Y128:Y130" si="159">IFERROR(IF(X128="","",IF(X128&lt;=0.2,"Muy Baja",IF(X128&lt;=0.4,"Baja",IF(X128&lt;=0.6,"Media",IF(X128&lt;=0.8,"Alta","Muy Alta"))))),"")</f>
        <v/>
      </c>
      <c r="Z128" s="130" t="str">
        <f t="shared" ref="Z128:Z130" si="160">+X128</f>
        <v/>
      </c>
      <c r="AA128" s="129" t="str">
        <f t="shared" si="155"/>
        <v/>
      </c>
      <c r="AB128" s="130" t="str">
        <f t="shared" ref="AB128:AB130" si="161">IFERROR(IF(AND(Q127="Impacto",Q128="Impacto"),(AB127-(+AB127*T128)),IF(AND(Q127="Probabilidad",Q128="Impacto"),(AB126-(+AB126*T128)),IF(Q128="Probabilidad",AB127,""))),"")</f>
        <v/>
      </c>
      <c r="AC128" s="131" t="str">
        <f t="shared" ref="AC128:AC130" si="162">IFERROR(IF(OR(AND(Y128="Muy Baja",AA128="Leve"),AND(Y128="Muy Baja",AA128="Menor"),AND(Y128="Baja",AA128="Leve")),"Bajo",IF(OR(AND(Y128="Muy baja",AA128="Moderado"),AND(Y128="Baja",AA128="Menor"),AND(Y128="Baja",AA128="Moderado"),AND(Y128="Media",AA128="Leve"),AND(Y128="Media",AA128="Menor"),AND(Y128="Media",AA128="Moderado"),AND(Y128="Alta",AA128="Leve"),AND(Y128="Alta",AA128="Menor")),"Moderado",IF(OR(AND(Y128="Muy Baja",AA128="Mayor"),AND(Y128="Baja",AA128="Mayor"),AND(Y128="Media",AA128="Mayor"),AND(Y128="Alta",AA128="Moderado"),AND(Y128="Alta",AA128="Mayor"),AND(Y128="Muy Alta",AA128="Leve"),AND(Y128="Muy Alta",AA128="Menor"),AND(Y128="Muy Alta",AA128="Moderado"),AND(Y128="Muy Alta",AA128="Mayor")),"Alto",IF(OR(AND(Y128="Muy Baja",AA128="Catastrófico"),AND(Y128="Baja",AA128="Catastrófico"),AND(Y128="Media",AA128="Catastrófico"),AND(Y128="Alta",AA128="Catastrófico"),AND(Y128="Muy Alta",AA128="Catastrófico")),"Extremo","")))),"")</f>
        <v/>
      </c>
      <c r="AD128" s="132"/>
      <c r="AE128" s="133"/>
      <c r="AF128" s="134"/>
      <c r="AG128" s="135"/>
      <c r="AH128" s="135"/>
      <c r="AI128" s="133"/>
      <c r="AJ128" s="134"/>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row>
    <row r="129" spans="1:68" ht="151.5" customHeight="1" x14ac:dyDescent="0.15">
      <c r="A129" s="196"/>
      <c r="B129" s="199"/>
      <c r="C129" s="199"/>
      <c r="D129" s="199"/>
      <c r="E129" s="202"/>
      <c r="F129" s="199"/>
      <c r="G129" s="205"/>
      <c r="H129" s="190"/>
      <c r="I129" s="187"/>
      <c r="J129" s="184"/>
      <c r="K129" s="187">
        <f>IF(NOT(ISERROR(MATCH(J129,_xlfn.ANCHORARRAY(E317),0))),I319&amp;"Por favor no seleccionar los criterios de impacto",J129)</f>
        <v>0</v>
      </c>
      <c r="L129" s="190"/>
      <c r="M129" s="187"/>
      <c r="N129" s="193"/>
      <c r="O129" s="123"/>
      <c r="P129" s="124"/>
      <c r="Q129" s="125" t="str">
        <f t="shared" si="156"/>
        <v/>
      </c>
      <c r="R129" s="126"/>
      <c r="S129" s="126"/>
      <c r="T129" s="127" t="str">
        <f t="shared" si="157"/>
        <v/>
      </c>
      <c r="U129" s="126"/>
      <c r="V129" s="126"/>
      <c r="W129" s="126"/>
      <c r="X129" s="128" t="str">
        <f t="shared" si="158"/>
        <v/>
      </c>
      <c r="Y129" s="129" t="str">
        <f t="shared" si="159"/>
        <v/>
      </c>
      <c r="Z129" s="130" t="str">
        <f t="shared" si="160"/>
        <v/>
      </c>
      <c r="AA129" s="129" t="str">
        <f t="shared" si="155"/>
        <v/>
      </c>
      <c r="AB129" s="130" t="str">
        <f t="shared" si="161"/>
        <v/>
      </c>
      <c r="AC129" s="131" t="str">
        <f t="shared" si="162"/>
        <v/>
      </c>
      <c r="AD129" s="132"/>
      <c r="AE129" s="133"/>
      <c r="AF129" s="134"/>
      <c r="AG129" s="135"/>
      <c r="AH129" s="135"/>
      <c r="AI129" s="133"/>
      <c r="AJ129" s="134"/>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row>
    <row r="130" spans="1:68" ht="151.5" customHeight="1" x14ac:dyDescent="0.15">
      <c r="A130" s="197"/>
      <c r="B130" s="200"/>
      <c r="C130" s="200"/>
      <c r="D130" s="200"/>
      <c r="E130" s="203"/>
      <c r="F130" s="200"/>
      <c r="G130" s="206"/>
      <c r="H130" s="191"/>
      <c r="I130" s="188"/>
      <c r="J130" s="185"/>
      <c r="K130" s="188">
        <f>IF(NOT(ISERROR(MATCH(J130,_xlfn.ANCHORARRAY(E318),0))),I320&amp;"Por favor no seleccionar los criterios de impacto",J130)</f>
        <v>0</v>
      </c>
      <c r="L130" s="191"/>
      <c r="M130" s="188"/>
      <c r="N130" s="194"/>
      <c r="O130" s="123"/>
      <c r="P130" s="124"/>
      <c r="Q130" s="125" t="str">
        <f>IF(OR(R130="Preventivo",R130="Detectivo"),"Probabilidad",IF(R130="Correctivo","Impacto",""))</f>
        <v/>
      </c>
      <c r="R130" s="126"/>
      <c r="S130" s="126"/>
      <c r="T130" s="127" t="str">
        <f t="shared" si="157"/>
        <v/>
      </c>
      <c r="U130" s="126"/>
      <c r="V130" s="126"/>
      <c r="W130" s="126"/>
      <c r="X130" s="128" t="str">
        <f t="shared" si="158"/>
        <v/>
      </c>
      <c r="Y130" s="129" t="str">
        <f t="shared" si="159"/>
        <v/>
      </c>
      <c r="Z130" s="130" t="str">
        <f t="shared" si="160"/>
        <v/>
      </c>
      <c r="AA130" s="129" t="str">
        <f t="shared" si="155"/>
        <v/>
      </c>
      <c r="AB130" s="130" t="str">
        <f t="shared" si="161"/>
        <v/>
      </c>
      <c r="AC130" s="131" t="str">
        <f t="shared" si="162"/>
        <v/>
      </c>
      <c r="AD130" s="132"/>
      <c r="AE130" s="133"/>
      <c r="AF130" s="134"/>
      <c r="AG130" s="135"/>
      <c r="AH130" s="135"/>
      <c r="AI130" s="133"/>
      <c r="AJ130" s="134"/>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row>
    <row r="131" spans="1:68" ht="151.5" customHeight="1" x14ac:dyDescent="0.15">
      <c r="A131" s="195">
        <f>+A125+1</f>
        <v>21</v>
      </c>
      <c r="B131" s="198" t="s">
        <v>131</v>
      </c>
      <c r="C131" s="198" t="s">
        <v>285</v>
      </c>
      <c r="D131" s="198"/>
      <c r="E131" s="201" t="s">
        <v>284</v>
      </c>
      <c r="F131" s="198" t="s">
        <v>121</v>
      </c>
      <c r="G131" s="204">
        <v>500</v>
      </c>
      <c r="H131" s="189" t="str">
        <f>IF(G131&lt;=0,"",IF(G131&lt;=2,"Muy Baja",IF(G131&lt;=24,"Baja",IF(G131&lt;=500,"Media",IF(G131&lt;=5000,"Alta","Muy Alta")))))</f>
        <v>Media</v>
      </c>
      <c r="I131" s="186">
        <f>IF(H131="","",IF(H131="Muy Baja",0.2,IF(H131="Baja",0.4,IF(H131="Media",0.6,IF(H131="Alta",0.8,IF(H131="Muy Alta",1,))))))</f>
        <v>0.6</v>
      </c>
      <c r="J131" s="183" t="s">
        <v>149</v>
      </c>
      <c r="K131" s="186" t="str">
        <f>IF(NOT(ISERROR(MATCH(J131,'Tabla Impacto'!$B$221:$B$223,0))),'Tabla Impacto'!$F$223&amp;"Por favor no seleccionar los criterios de impacto(Afectación Económica o presupuestal y Pérdida Reputacional)",J131)</f>
        <v xml:space="preserve">     Entre 100 y 500 SMLMV </v>
      </c>
      <c r="L131" s="189" t="str">
        <f>IF(OR(K131='Tabla Impacto'!$C$11,K131='Tabla Impacto'!$D$11),"Leve",IF(OR(K131='Tabla Impacto'!$C$12,K131='Tabla Impacto'!$D$12),"Menor",IF(OR(K131='Tabla Impacto'!$C$13,K131='Tabla Impacto'!$D$13),"Moderado",IF(OR(K131='Tabla Impacto'!$C$14,K131='Tabla Impacto'!$D$14),"Mayor",IF(OR(K131='Tabla Impacto'!$C$15,K131='Tabla Impacto'!$D$15),"Catastrófico","")))))</f>
        <v>Mayor</v>
      </c>
      <c r="M131" s="186">
        <f>IF(L131="","",IF(L131="Leve",0.2,IF(L131="Menor",0.4,IF(L131="Moderado",0.6,IF(L131="Mayor",0.8,IF(L131="Catastrófico",1,))))))</f>
        <v>0.8</v>
      </c>
      <c r="N131" s="192" t="str">
        <f>IF(OR(AND(H131="Muy Baja",L131="Leve"),AND(H131="Muy Baja",L131="Menor"),AND(H131="Baja",L131="Leve")),"Bajo",IF(OR(AND(H131="Muy baja",L131="Moderado"),AND(H131="Baja",L131="Menor"),AND(H131="Baja",L131="Moderado"),AND(H131="Media",L131="Leve"),AND(H131="Media",L131="Menor"),AND(H131="Media",L131="Moderado"),AND(H131="Alta",L131="Leve"),AND(H131="Alta",L131="Menor")),"Moderado",IF(OR(AND(H131="Muy Baja",L131="Mayor"),AND(H131="Baja",L131="Mayor"),AND(H131="Media",L131="Mayor"),AND(H131="Alta",L131="Moderado"),AND(H131="Alta",L131="Mayor"),AND(H131="Muy Alta",L131="Leve"),AND(H131="Muy Alta",L131="Menor"),AND(H131="Muy Alta",L131="Moderado"),AND(H131="Muy Alta",L131="Mayor")),"Alto",IF(OR(AND(H131="Muy Baja",L131="Catastrófico"),AND(H131="Baja",L131="Catastrófico"),AND(H131="Media",L131="Catastrófico"),AND(H131="Alta",L131="Catastrófico"),AND(H131="Muy Alta",L131="Catastrófico")),"Extremo",""))))</f>
        <v>Alto</v>
      </c>
      <c r="O131" s="123">
        <v>1</v>
      </c>
      <c r="P131" s="124" t="s">
        <v>286</v>
      </c>
      <c r="Q131" s="125" t="str">
        <f>IF(OR(R131="Preventivo",R131="Detectivo"),"Probabilidad",IF(R131="Correctivo","Impacto",""))</f>
        <v>Probabilidad</v>
      </c>
      <c r="R131" s="126" t="s">
        <v>13</v>
      </c>
      <c r="S131" s="126" t="s">
        <v>9</v>
      </c>
      <c r="T131" s="127" t="str">
        <f>IF(AND(R131="Preventivo",S131="Automático"),"50%",IF(AND(R131="Preventivo",S131="Manual"),"40%",IF(AND(R131="Detectivo",S131="Automático"),"40%",IF(AND(R131="Detectivo",S131="Manual"),"30%",IF(AND(R131="Correctivo",S131="Automático"),"35%",IF(AND(R131="Correctivo",S131="Manual"),"25%",""))))))</f>
        <v>40%</v>
      </c>
      <c r="U131" s="126" t="s">
        <v>17</v>
      </c>
      <c r="V131" s="126" t="s">
        <v>20</v>
      </c>
      <c r="W131" s="126" t="s">
        <v>117</v>
      </c>
      <c r="X131" s="128">
        <f>IFERROR(IF(Q131="Probabilidad",(I131-(+I131*T131)),IF(Q131="Impacto",I131,"")),"")</f>
        <v>0.36</v>
      </c>
      <c r="Y131" s="129" t="str">
        <f>IFERROR(IF(X131="","",IF(X131&lt;=0.2,"Muy Baja",IF(X131&lt;=0.4,"Baja",IF(X131&lt;=0.6,"Media",IF(X131&lt;=0.8,"Alta","Muy Alta"))))),"")</f>
        <v>Baja</v>
      </c>
      <c r="Z131" s="130">
        <f>+X131</f>
        <v>0.36</v>
      </c>
      <c r="AA131" s="129" t="str">
        <f>IFERROR(IF(AB131="","",IF(AB131&lt;=0.2,"Leve",IF(AB131&lt;=0.4,"Menor",IF(AB131&lt;=0.6,"Moderado",IF(AB131&lt;=0.8,"Mayor","Catastrófico"))))),"")</f>
        <v>Mayor</v>
      </c>
      <c r="AB131" s="130">
        <f>IFERROR(IF(Q131="Impacto",(M131-(+M131*T131)),IF(Q131="Probabilidad",M131,"")),"")</f>
        <v>0.8</v>
      </c>
      <c r="AC131" s="131" t="str">
        <f>IFERROR(IF(OR(AND(Y131="Muy Baja",AA131="Leve"),AND(Y131="Muy Baja",AA131="Menor"),AND(Y131="Baja",AA131="Leve")),"Bajo",IF(OR(AND(Y131="Muy baja",AA131="Moderado"),AND(Y131="Baja",AA131="Menor"),AND(Y131="Baja",AA131="Moderado"),AND(Y131="Media",AA131="Leve"),AND(Y131="Media",AA131="Menor"),AND(Y131="Media",AA131="Moderado"),AND(Y131="Alta",AA131="Leve"),AND(Y131="Alta",AA131="Menor")),"Moderado",IF(OR(AND(Y131="Muy Baja",AA131="Mayor"),AND(Y131="Baja",AA131="Mayor"),AND(Y131="Media",AA131="Mayor"),AND(Y131="Alta",AA131="Moderado"),AND(Y131="Alta",AA131="Mayor"),AND(Y131="Muy Alta",AA131="Leve"),AND(Y131="Muy Alta",AA131="Menor"),AND(Y131="Muy Alta",AA131="Moderado"),AND(Y131="Muy Alta",AA131="Mayor")),"Alto",IF(OR(AND(Y131="Muy Baja",AA131="Catastrófico"),AND(Y131="Baja",AA131="Catastrófico"),AND(Y131="Media",AA131="Catastrófico"),AND(Y131="Alta",AA131="Catastrófico"),AND(Y131="Muy Alta",AA131="Catastrófico")),"Extremo","")))),"")</f>
        <v>Alto</v>
      </c>
      <c r="AD131" s="132" t="s">
        <v>134</v>
      </c>
      <c r="AE131" s="133"/>
      <c r="AF131" s="134"/>
      <c r="AG131" s="135"/>
      <c r="AH131" s="135"/>
      <c r="AI131" s="133"/>
      <c r="AJ131" s="134"/>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row>
    <row r="132" spans="1:68" ht="151.5" customHeight="1" x14ac:dyDescent="0.15">
      <c r="A132" s="196"/>
      <c r="B132" s="199"/>
      <c r="C132" s="199"/>
      <c r="D132" s="199"/>
      <c r="E132" s="202"/>
      <c r="F132" s="199"/>
      <c r="G132" s="205"/>
      <c r="H132" s="190"/>
      <c r="I132" s="187"/>
      <c r="J132" s="184"/>
      <c r="K132" s="187">
        <f>IF(NOT(ISERROR(MATCH(J132,_xlfn.ANCHORARRAY(E320),0))),I322&amp;"Por favor no seleccionar los criterios de impacto",J132)</f>
        <v>0</v>
      </c>
      <c r="L132" s="190"/>
      <c r="M132" s="187"/>
      <c r="N132" s="193"/>
      <c r="O132" s="123">
        <v>2</v>
      </c>
      <c r="P132" s="124" t="s">
        <v>238</v>
      </c>
      <c r="Q132" s="125" t="str">
        <f>IF(OR(R132="Preventivo",R132="Detectivo"),"Probabilidad",IF(R132="Correctivo","Impacto",""))</f>
        <v>Probabilidad</v>
      </c>
      <c r="R132" s="126" t="s">
        <v>13</v>
      </c>
      <c r="S132" s="126" t="s">
        <v>9</v>
      </c>
      <c r="T132" s="127" t="str">
        <f t="shared" ref="T132" si="163">IF(AND(R132="Preventivo",S132="Automático"),"50%",IF(AND(R132="Preventivo",S132="Manual"),"40%",IF(AND(R132="Detectivo",S132="Automático"),"40%",IF(AND(R132="Detectivo",S132="Manual"),"30%",IF(AND(R132="Correctivo",S132="Automático"),"35%",IF(AND(R132="Correctivo",S132="Manual"),"25%",""))))))</f>
        <v>40%</v>
      </c>
      <c r="U132" s="126" t="s">
        <v>17</v>
      </c>
      <c r="V132" s="126" t="s">
        <v>20</v>
      </c>
      <c r="W132" s="126" t="s">
        <v>117</v>
      </c>
      <c r="X132" s="128">
        <f>IFERROR(IF(AND(Q131="Probabilidad",Q132="Probabilidad"),(Z131-(+Z131*T132)),IF(Q132="Probabilidad",(I131-(+I131*T132)),IF(Q132="Impacto",Z131,""))),"")</f>
        <v>0.216</v>
      </c>
      <c r="Y132" s="129" t="str">
        <f>IFERROR(IF(X132="","",IF(X132&lt;=0.2,"Muy Baja",IF(X132&lt;=0.4,"Baja",IF(X132&lt;=0.6,"Media",IF(X132&lt;=0.8,"Alta","Muy Alta"))))),"")</f>
        <v>Baja</v>
      </c>
      <c r="Z132" s="130">
        <f>+X132</f>
        <v>0.216</v>
      </c>
      <c r="AA132" s="129" t="str">
        <f t="shared" ref="AA132:AA136" si="164">IFERROR(IF(AB132="","",IF(AB132&lt;=0.2,"Leve",IF(AB132&lt;=0.4,"Menor",IF(AB132&lt;=0.6,"Moderado",IF(AB132&lt;=0.8,"Mayor","Catastrófico"))))),"")</f>
        <v>Mayor</v>
      </c>
      <c r="AB132" s="130">
        <f>IFERROR(IF(AND(Q131="Impacto",Q132="Impacto"),(AB131-(+AB131*T132)),IF(Q132="Impacto",(M131-(+M131*T132)),IF(Q132="Probabilidad",AB131,""))),"")</f>
        <v>0.8</v>
      </c>
      <c r="AC132" s="131" t="str">
        <f t="shared" ref="AC132" si="165">IFERROR(IF(OR(AND(Y132="Muy Baja",AA132="Leve"),AND(Y132="Muy Baja",AA132="Menor"),AND(Y132="Baja",AA132="Leve")),"Bajo",IF(OR(AND(Y132="Muy baja",AA132="Moderado"),AND(Y132="Baja",AA132="Menor"),AND(Y132="Baja",AA132="Moderado"),AND(Y132="Media",AA132="Leve"),AND(Y132="Media",AA132="Menor"),AND(Y132="Media",AA132="Moderado"),AND(Y132="Alta",AA132="Leve"),AND(Y132="Alta",AA132="Menor")),"Moderado",IF(OR(AND(Y132="Muy Baja",AA132="Mayor"),AND(Y132="Baja",AA132="Mayor"),AND(Y132="Media",AA132="Mayor"),AND(Y132="Alta",AA132="Moderado"),AND(Y132="Alta",AA132="Mayor"),AND(Y132="Muy Alta",AA132="Leve"),AND(Y132="Muy Alta",AA132="Menor"),AND(Y132="Muy Alta",AA132="Moderado"),AND(Y132="Muy Alta",AA132="Mayor")),"Alto",IF(OR(AND(Y132="Muy Baja",AA132="Catastrófico"),AND(Y132="Baja",AA132="Catastrófico"),AND(Y132="Media",AA132="Catastrófico"),AND(Y132="Alta",AA132="Catastrófico"),AND(Y132="Muy Alta",AA132="Catastrófico")),"Extremo","")))),"")</f>
        <v>Alto</v>
      </c>
      <c r="AD132" s="132" t="s">
        <v>134</v>
      </c>
      <c r="AE132" s="133"/>
      <c r="AF132" s="134"/>
      <c r="AG132" s="135"/>
      <c r="AH132" s="135"/>
      <c r="AI132" s="133"/>
      <c r="AJ132" s="134"/>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row>
    <row r="133" spans="1:68" ht="151.5" customHeight="1" x14ac:dyDescent="0.15">
      <c r="A133" s="196"/>
      <c r="B133" s="199"/>
      <c r="C133" s="199"/>
      <c r="D133" s="199"/>
      <c r="E133" s="202"/>
      <c r="F133" s="199"/>
      <c r="G133" s="205"/>
      <c r="H133" s="190"/>
      <c r="I133" s="187"/>
      <c r="J133" s="184"/>
      <c r="K133" s="187">
        <f>IF(NOT(ISERROR(MATCH(J133,_xlfn.ANCHORARRAY(E321),0))),I323&amp;"Por favor no seleccionar los criterios de impacto",J133)</f>
        <v>0</v>
      </c>
      <c r="L133" s="190"/>
      <c r="M133" s="187"/>
      <c r="N133" s="193"/>
      <c r="O133" s="123">
        <v>3</v>
      </c>
      <c r="P133" s="136"/>
      <c r="Q133" s="125" t="str">
        <f>IF(OR(R133="Preventivo",R133="Detectivo"),"Probabilidad",IF(R133="Correctivo","Impacto",""))</f>
        <v/>
      </c>
      <c r="R133" s="126"/>
      <c r="S133" s="126"/>
      <c r="T133" s="127" t="str">
        <f>IF(AND(R133="Preventivo",S133="Automático"),"50%",IF(AND(R133="Preventivo",S133="Manual"),"40%",IF(AND(R133="Detectivo",S133="Automático"),"40%",IF(AND(R133="Detectivo",S133="Manual"),"30%",IF(AND(R133="Correctivo",S133="Automático"),"35%",IF(AND(R133="Correctivo",S133="Manual"),"25%",""))))))</f>
        <v/>
      </c>
      <c r="U133" s="126"/>
      <c r="V133" s="126"/>
      <c r="W133" s="126"/>
      <c r="X133" s="128" t="str">
        <f>IFERROR(IF(AND(Q132="Probabilidad",Q133="Probabilidad"),(Z132-(+Z132*T133)),IF(AND(Q132="Impacto",Q133="Probabilidad"),(Z131-(+Z131*T133)),IF(Q133="Impacto",Z132,""))),"")</f>
        <v/>
      </c>
      <c r="Y133" s="129" t="str">
        <f>IFERROR(IF(X133="","",IF(X133&lt;=0.2,"Muy Baja",IF(X133&lt;=0.4,"Baja",IF(X133&lt;=0.6,"Media",IF(X133&lt;=0.8,"Alta","Muy Alta"))))),"")</f>
        <v/>
      </c>
      <c r="Z133" s="130" t="str">
        <f>+X133</f>
        <v/>
      </c>
      <c r="AA133" s="129" t="str">
        <f t="shared" si="164"/>
        <v/>
      </c>
      <c r="AB133" s="130" t="str">
        <f>IFERROR(IF(AND(Q132="Impacto",Q133="Impacto"),(AB132-(+AB132*T133)),IF(AND(Q132="Probabilidad",Q133="Impacto"),(AB131-(+AB131*T133)),IF(Q133="Probabilidad",AB132,""))),"")</f>
        <v/>
      </c>
      <c r="AC133" s="131" t="str">
        <f>IFERROR(IF(OR(AND(Y133="Muy Baja",AA133="Leve"),AND(Y133="Muy Baja",AA133="Menor"),AND(Y133="Baja",AA133="Leve")),"Bajo",IF(OR(AND(Y133="Muy baja",AA133="Moderado"),AND(Y133="Baja",AA133="Menor"),AND(Y133="Baja",AA133="Moderado"),AND(Y133="Media",AA133="Leve"),AND(Y133="Media",AA133="Menor"),AND(Y133="Media",AA133="Moderado"),AND(Y133="Alta",AA133="Leve"),AND(Y133="Alta",AA133="Menor")),"Moderado",IF(OR(AND(Y133="Muy Baja",AA133="Mayor"),AND(Y133="Baja",AA133="Mayor"),AND(Y133="Media",AA133="Mayor"),AND(Y133="Alta",AA133="Moderado"),AND(Y133="Alta",AA133="Mayor"),AND(Y133="Muy Alta",AA133="Leve"),AND(Y133="Muy Alta",AA133="Menor"),AND(Y133="Muy Alta",AA133="Moderado"),AND(Y133="Muy Alta",AA133="Mayor")),"Alto",IF(OR(AND(Y133="Muy Baja",AA133="Catastrófico"),AND(Y133="Baja",AA133="Catastrófico"),AND(Y133="Media",AA133="Catastrófico"),AND(Y133="Alta",AA133="Catastrófico"),AND(Y133="Muy Alta",AA133="Catastrófico")),"Extremo","")))),"")</f>
        <v/>
      </c>
      <c r="AD133" s="132"/>
      <c r="AE133" s="133"/>
      <c r="AF133" s="134"/>
      <c r="AG133" s="135"/>
      <c r="AH133" s="135"/>
      <c r="AI133" s="133"/>
      <c r="AJ133" s="134"/>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row>
    <row r="134" spans="1:68" ht="151.5" customHeight="1" x14ac:dyDescent="0.15">
      <c r="A134" s="196"/>
      <c r="B134" s="199"/>
      <c r="C134" s="199"/>
      <c r="D134" s="199"/>
      <c r="E134" s="202"/>
      <c r="F134" s="199"/>
      <c r="G134" s="205"/>
      <c r="H134" s="190"/>
      <c r="I134" s="187"/>
      <c r="J134" s="184"/>
      <c r="K134" s="187">
        <f>IF(NOT(ISERROR(MATCH(J134,_xlfn.ANCHORARRAY(E322),0))),I324&amp;"Por favor no seleccionar los criterios de impacto",J134)</f>
        <v>0</v>
      </c>
      <c r="L134" s="190"/>
      <c r="M134" s="187"/>
      <c r="N134" s="193"/>
      <c r="O134" s="123">
        <v>4</v>
      </c>
      <c r="P134" s="124"/>
      <c r="Q134" s="125" t="str">
        <f t="shared" ref="Q134:Q135" si="166">IF(OR(R134="Preventivo",R134="Detectivo"),"Probabilidad",IF(R134="Correctivo","Impacto",""))</f>
        <v/>
      </c>
      <c r="R134" s="126"/>
      <c r="S134" s="126"/>
      <c r="T134" s="127" t="str">
        <f>IF(AND(R134="Preventivo",S134="Automático"),"50%",IF(AND(R134="Preventivo",S134="Manual"),"40%",IF(AND(R134="Detectivo",S134="Automático"),"40%",IF(AND(R134="Detectivo",S134="Manual"),"30%",IF(AND(R134="Correctivo",S134="Automático"),"35%",IF(AND(R134="Correctivo",S134="Manual"),"15%",""))))))</f>
        <v/>
      </c>
      <c r="U134" s="126"/>
      <c r="V134" s="126"/>
      <c r="W134" s="126"/>
      <c r="X134" s="128" t="str">
        <f t="shared" ref="X134:X136" si="167">IFERROR(IF(AND(Q133="Probabilidad",Q134="Probabilidad"),(Z133-(+Z133*T134)),IF(AND(Q133="Impacto",Q134="Probabilidad"),(Z132-(+Z132*T134)),IF(Q134="Impacto",Z133,""))),"")</f>
        <v/>
      </c>
      <c r="Y134" s="129" t="str">
        <f t="shared" ref="Y134:Y136" si="168">IFERROR(IF(X134="","",IF(X134&lt;=0.2,"Muy Baja",IF(X134&lt;=0.4,"Baja",IF(X134&lt;=0.6,"Media",IF(X134&lt;=0.8,"Alta","Muy Alta"))))),"")</f>
        <v/>
      </c>
      <c r="Z134" s="130" t="str">
        <f t="shared" ref="Z134:Z136" si="169">+X134</f>
        <v/>
      </c>
      <c r="AA134" s="129" t="str">
        <f>IFERROR(IF(AB134="","",IF(AB134&lt;=0.2,"Leve",IF(AB134&lt;=0.4,"Menor",IF(AB134&lt;=0.6,"Moderado",IF(AB134&lt;=0.8,"Mayor","Catastrófico"))))),"")</f>
        <v/>
      </c>
      <c r="AB134" s="130" t="str">
        <f t="shared" ref="AB134:AB136" si="170">IFERROR(IF(AND(Q133="Impacto",Q134="Impacto"),(AB133-(+AB133*T134)),IF(AND(Q133="Probabilidad",Q134="Impacto"),(AB132-(+AB132*T134)),IF(Q134="Probabilidad",AB133,""))),"")</f>
        <v/>
      </c>
      <c r="AC134" s="131" t="str">
        <f>IFERROR(IF(OR(AND(Y134="Muy Baja",AA134="Leve"),AND(Y134="Muy Baja",AA134="Menor"),AND(Y134="Baja",AA134="Leve")),"Bajo",IF(OR(AND(Y134="Muy baja",AA134="Moderado"),AND(Y134="Baja",AA134="Menor"),AND(Y134="Baja",AA134="Moderado"),AND(Y134="Media",AA134="Leve"),AND(Y134="Media",AA134="Menor"),AND(Y134="Media",AA134="Moderado"),AND(Y134="Alta",AA134="Leve"),AND(Y134="Alta",AA134="Menor")),"Moderado",IF(OR(AND(Y134="Muy Baja",AA134="Mayor"),AND(Y134="Baja",AA134="Mayor"),AND(Y134="Media",AA134="Mayor"),AND(Y134="Alta",AA134="Moderado"),AND(Y134="Alta",AA134="Mayor"),AND(Y134="Muy Alta",AA134="Leve"),AND(Y134="Muy Alta",AA134="Menor"),AND(Y134="Muy Alta",AA134="Moderado"),AND(Y134="Muy Alta",AA134="Mayor")),"Alto",IF(OR(AND(Y134="Muy Baja",AA134="Catastrófico"),AND(Y134="Baja",AA134="Catastrófico"),AND(Y134="Media",AA134="Catastrófico"),AND(Y134="Alta",AA134="Catastrófico"),AND(Y134="Muy Alta",AA134="Catastrófico")),"Extremo","")))),"")</f>
        <v/>
      </c>
      <c r="AD134" s="132"/>
      <c r="AE134" s="133"/>
      <c r="AF134" s="134"/>
      <c r="AG134" s="135"/>
      <c r="AH134" s="135"/>
      <c r="AI134" s="133"/>
      <c r="AJ134" s="134"/>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row>
    <row r="135" spans="1:68" ht="151.5" customHeight="1" x14ac:dyDescent="0.15">
      <c r="A135" s="196"/>
      <c r="B135" s="199"/>
      <c r="C135" s="199"/>
      <c r="D135" s="199"/>
      <c r="E135" s="202"/>
      <c r="F135" s="199"/>
      <c r="G135" s="205"/>
      <c r="H135" s="190"/>
      <c r="I135" s="187"/>
      <c r="J135" s="184"/>
      <c r="K135" s="187">
        <f>IF(NOT(ISERROR(MATCH(J135,_xlfn.ANCHORARRAY(E323),0))),I325&amp;"Por favor no seleccionar los criterios de impacto",J135)</f>
        <v>0</v>
      </c>
      <c r="L135" s="190"/>
      <c r="M135" s="187"/>
      <c r="N135" s="193"/>
      <c r="O135" s="123">
        <v>5</v>
      </c>
      <c r="P135" s="124"/>
      <c r="Q135" s="125" t="str">
        <f t="shared" si="166"/>
        <v/>
      </c>
      <c r="R135" s="126"/>
      <c r="S135" s="126"/>
      <c r="T135" s="127" t="str">
        <f t="shared" ref="T135:T136" si="171">IF(AND(R135="Preventivo",S135="Automático"),"50%",IF(AND(R135="Preventivo",S135="Manual"),"40%",IF(AND(R135="Detectivo",S135="Automático"),"40%",IF(AND(R135="Detectivo",S135="Manual"),"30%",IF(AND(R135="Correctivo",S135="Automático"),"35%",IF(AND(R135="Correctivo",S135="Manual"),"25%",""))))))</f>
        <v/>
      </c>
      <c r="U135" s="126"/>
      <c r="V135" s="126"/>
      <c r="W135" s="126"/>
      <c r="X135" s="128" t="str">
        <f t="shared" si="167"/>
        <v/>
      </c>
      <c r="Y135" s="129" t="str">
        <f t="shared" si="168"/>
        <v/>
      </c>
      <c r="Z135" s="130" t="str">
        <f t="shared" si="169"/>
        <v/>
      </c>
      <c r="AA135" s="129" t="str">
        <f>IFERROR(IF(AB135="","",IF(AB135&lt;=0.2,"Leve",IF(AB135&lt;=0.4,"Menor",IF(AB135&lt;=0.6,"Moderado",IF(AB135&lt;=0.8,"Mayor","Catastrófico"))))),"")</f>
        <v/>
      </c>
      <c r="AB135" s="130" t="str">
        <f t="shared" si="170"/>
        <v/>
      </c>
      <c r="AC135" s="131" t="str">
        <f t="shared" ref="AC135:AC136" si="172">IFERROR(IF(OR(AND(Y135="Muy Baja",AA135="Leve"),AND(Y135="Muy Baja",AA135="Menor"),AND(Y135="Baja",AA135="Leve")),"Bajo",IF(OR(AND(Y135="Muy baja",AA135="Moderado"),AND(Y135="Baja",AA135="Menor"),AND(Y135="Baja",AA135="Moderado"),AND(Y135="Media",AA135="Leve"),AND(Y135="Media",AA135="Menor"),AND(Y135="Media",AA135="Moderado"),AND(Y135="Alta",AA135="Leve"),AND(Y135="Alta",AA135="Menor")),"Moderado",IF(OR(AND(Y135="Muy Baja",AA135="Mayor"),AND(Y135="Baja",AA135="Mayor"),AND(Y135="Media",AA135="Mayor"),AND(Y135="Alta",AA135="Moderado"),AND(Y135="Alta",AA135="Mayor"),AND(Y135="Muy Alta",AA135="Leve"),AND(Y135="Muy Alta",AA135="Menor"),AND(Y135="Muy Alta",AA135="Moderado"),AND(Y135="Muy Alta",AA135="Mayor")),"Alto",IF(OR(AND(Y135="Muy Baja",AA135="Catastrófico"),AND(Y135="Baja",AA135="Catastrófico"),AND(Y135="Media",AA135="Catastrófico"),AND(Y135="Alta",AA135="Catastrófico"),AND(Y135="Muy Alta",AA135="Catastrófico")),"Extremo","")))),"")</f>
        <v/>
      </c>
      <c r="AD135" s="132"/>
      <c r="AE135" s="133"/>
      <c r="AF135" s="134"/>
      <c r="AG135" s="135"/>
      <c r="AH135" s="135"/>
      <c r="AI135" s="133"/>
      <c r="AJ135" s="134"/>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row>
    <row r="136" spans="1:68" ht="151.5" customHeight="1" x14ac:dyDescent="0.15">
      <c r="A136" s="197"/>
      <c r="B136" s="200"/>
      <c r="C136" s="200"/>
      <c r="D136" s="200"/>
      <c r="E136" s="203"/>
      <c r="F136" s="200"/>
      <c r="G136" s="206"/>
      <c r="H136" s="191"/>
      <c r="I136" s="188"/>
      <c r="J136" s="185"/>
      <c r="K136" s="188">
        <f>IF(NOT(ISERROR(MATCH(J136,_xlfn.ANCHORARRAY(E324),0))),I326&amp;"Por favor no seleccionar los criterios de impacto",J136)</f>
        <v>0</v>
      </c>
      <c r="L136" s="191"/>
      <c r="M136" s="188"/>
      <c r="N136" s="194"/>
      <c r="O136" s="123"/>
      <c r="P136" s="124"/>
      <c r="Q136" s="125" t="str">
        <f>IF(OR(R136="Preventivo",R136="Detectivo"),"Probabilidad",IF(R136="Correctivo","Impacto",""))</f>
        <v/>
      </c>
      <c r="R136" s="126"/>
      <c r="S136" s="126"/>
      <c r="T136" s="127" t="str">
        <f t="shared" si="171"/>
        <v/>
      </c>
      <c r="U136" s="126"/>
      <c r="V136" s="126"/>
      <c r="W136" s="126"/>
      <c r="X136" s="128" t="str">
        <f t="shared" si="167"/>
        <v/>
      </c>
      <c r="Y136" s="129" t="str">
        <f t="shared" si="168"/>
        <v/>
      </c>
      <c r="Z136" s="130" t="str">
        <f t="shared" si="169"/>
        <v/>
      </c>
      <c r="AA136" s="129" t="str">
        <f t="shared" si="164"/>
        <v/>
      </c>
      <c r="AB136" s="130" t="str">
        <f t="shared" si="170"/>
        <v/>
      </c>
      <c r="AC136" s="131" t="str">
        <f t="shared" si="172"/>
        <v/>
      </c>
      <c r="AD136" s="132"/>
      <c r="AE136" s="133"/>
      <c r="AF136" s="134"/>
      <c r="AG136" s="135"/>
      <c r="AH136" s="135"/>
      <c r="AI136" s="133"/>
      <c r="AJ136" s="134"/>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row>
    <row r="137" spans="1:68" ht="151.5" customHeight="1" x14ac:dyDescent="0.15">
      <c r="A137" s="195">
        <f>+A131+1</f>
        <v>22</v>
      </c>
      <c r="B137" s="198" t="s">
        <v>131</v>
      </c>
      <c r="C137" s="198" t="s">
        <v>288</v>
      </c>
      <c r="D137" s="198"/>
      <c r="E137" s="201" t="s">
        <v>287</v>
      </c>
      <c r="F137" s="198" t="s">
        <v>121</v>
      </c>
      <c r="G137" s="204">
        <v>6000</v>
      </c>
      <c r="H137" s="189" t="str">
        <f>IF(G137&lt;=0,"",IF(G137&lt;=2,"Muy Baja",IF(G137&lt;=24,"Baja",IF(G137&lt;=500,"Media",IF(G137&lt;=5000,"Alta","Muy Alta")))))</f>
        <v>Muy Alta</v>
      </c>
      <c r="I137" s="186">
        <f>IF(H137="","",IF(H137="Muy Baja",0.2,IF(H137="Baja",0.4,IF(H137="Media",0.6,IF(H137="Alta",0.8,IF(H137="Muy Alta",1,))))))</f>
        <v>1</v>
      </c>
      <c r="J137" s="183" t="s">
        <v>147</v>
      </c>
      <c r="K137" s="186" t="str">
        <f>IF(NOT(ISERROR(MATCH(J137,'Tabla Impacto'!$B$221:$B$223,0))),'Tabla Impacto'!$F$223&amp;"Por favor no seleccionar los criterios de impacto(Afectación Económica o presupuestal y Pérdida Reputacional)",J137)</f>
        <v xml:space="preserve">     Entre 50 y 100 SMLMV </v>
      </c>
      <c r="L137" s="189" t="str">
        <f>IF(OR(K137='Tabla Impacto'!$C$11,K137='Tabla Impacto'!$D$11),"Leve",IF(OR(K137='Tabla Impacto'!$C$12,K137='Tabla Impacto'!$D$12),"Menor",IF(OR(K137='Tabla Impacto'!$C$13,K137='Tabla Impacto'!$D$13),"Moderado",IF(OR(K137='Tabla Impacto'!$C$14,K137='Tabla Impacto'!$D$14),"Mayor",IF(OR(K137='Tabla Impacto'!$C$15,K137='Tabla Impacto'!$D$15),"Catastrófico","")))))</f>
        <v>Moderado</v>
      </c>
      <c r="M137" s="186">
        <f>IF(L137="","",IF(L137="Leve",0.2,IF(L137="Menor",0.4,IF(L137="Moderado",0.6,IF(L137="Mayor",0.8,IF(L137="Catastrófico",1,))))))</f>
        <v>0.6</v>
      </c>
      <c r="N137" s="192"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Alto</v>
      </c>
      <c r="O137" s="123">
        <v>1</v>
      </c>
      <c r="P137" s="124" t="s">
        <v>289</v>
      </c>
      <c r="Q137" s="125" t="str">
        <f>IF(OR(R137="Preventivo",R137="Detectivo"),"Probabilidad",IF(R137="Correctivo","Impacto",""))</f>
        <v>Probabilidad</v>
      </c>
      <c r="R137" s="126" t="s">
        <v>12</v>
      </c>
      <c r="S137" s="126" t="s">
        <v>8</v>
      </c>
      <c r="T137" s="127">
        <v>0.63</v>
      </c>
      <c r="U137" s="126" t="s">
        <v>17</v>
      </c>
      <c r="V137" s="126" t="s">
        <v>20</v>
      </c>
      <c r="W137" s="126" t="s">
        <v>117</v>
      </c>
      <c r="X137" s="128">
        <f>IFERROR(IF(Q137="Probabilidad",(I137-(+I137*T137)),IF(Q137="Impacto",I137,"")),"")</f>
        <v>0.37</v>
      </c>
      <c r="Y137" s="129" t="str">
        <f>IFERROR(IF(X137="","",IF(X137&lt;=0.2,"Muy Baja",IF(X137&lt;=0.4,"Baja",IF(X137&lt;=0.6,"Media",IF(X137&lt;=0.8,"Alta","Muy Alta"))))),"")</f>
        <v>Baja</v>
      </c>
      <c r="Z137" s="130">
        <f>+X137</f>
        <v>0.37</v>
      </c>
      <c r="AA137" s="129" t="str">
        <f>IFERROR(IF(AB137="","",IF(AB137&lt;=0.2,"Leve",IF(AB137&lt;=0.4,"Menor",IF(AB137&lt;=0.6,"Moderado",IF(AB137&lt;=0.8,"Mayor","Catastrófico"))))),"")</f>
        <v>Moderado</v>
      </c>
      <c r="AB137" s="130">
        <f>IFERROR(IF(Q137="Impacto",(M137-(+M137*T137)),IF(Q137="Probabilidad",M137,"")),"")</f>
        <v>0.6</v>
      </c>
      <c r="AC137" s="131" t="str">
        <f>IFERROR(IF(OR(AND(Y137="Muy Baja",AA137="Leve"),AND(Y137="Muy Baja",AA137="Menor"),AND(Y137="Baja",AA137="Leve")),"Bajo",IF(OR(AND(Y137="Muy baja",AA137="Moderado"),AND(Y137="Baja",AA137="Menor"),AND(Y137="Baja",AA137="Moderado"),AND(Y137="Media",AA137="Leve"),AND(Y137="Media",AA137="Menor"),AND(Y137="Media",AA137="Moderado"),AND(Y137="Alta",AA137="Leve"),AND(Y137="Alta",AA137="Menor")),"Moderado",IF(OR(AND(Y137="Muy Baja",AA137="Mayor"),AND(Y137="Baja",AA137="Mayor"),AND(Y137="Media",AA137="Mayor"),AND(Y137="Alta",AA137="Moderado"),AND(Y137="Alta",AA137="Mayor"),AND(Y137="Muy Alta",AA137="Leve"),AND(Y137="Muy Alta",AA137="Menor"),AND(Y137="Muy Alta",AA137="Moderado"),AND(Y137="Muy Alta",AA137="Mayor")),"Alto",IF(OR(AND(Y137="Muy Baja",AA137="Catastrófico"),AND(Y137="Baja",AA137="Catastrófico"),AND(Y137="Media",AA137="Catastrófico"),AND(Y137="Alta",AA137="Catastrófico"),AND(Y137="Muy Alta",AA137="Catastrófico")),"Extremo","")))),"")</f>
        <v>Moderado</v>
      </c>
      <c r="AD137" s="132" t="s">
        <v>134</v>
      </c>
      <c r="AE137" s="133"/>
      <c r="AF137" s="134"/>
      <c r="AG137" s="135"/>
      <c r="AH137" s="135"/>
      <c r="AI137" s="133"/>
      <c r="AJ137" s="134"/>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row>
    <row r="138" spans="1:68" ht="151.5" customHeight="1" x14ac:dyDescent="0.15">
      <c r="A138" s="196"/>
      <c r="B138" s="199"/>
      <c r="C138" s="199"/>
      <c r="D138" s="199"/>
      <c r="E138" s="202"/>
      <c r="F138" s="199"/>
      <c r="G138" s="205"/>
      <c r="H138" s="190"/>
      <c r="I138" s="187"/>
      <c r="J138" s="184"/>
      <c r="K138" s="187">
        <f>IF(NOT(ISERROR(MATCH(J138,_xlfn.ANCHORARRAY(E326),0))),I328&amp;"Por favor no seleccionar los criterios de impacto",J138)</f>
        <v>0</v>
      </c>
      <c r="L138" s="190"/>
      <c r="M138" s="187"/>
      <c r="N138" s="193"/>
      <c r="O138" s="123">
        <v>2</v>
      </c>
      <c r="P138" s="124" t="s">
        <v>290</v>
      </c>
      <c r="Q138" s="125" t="str">
        <f>IF(OR(R138="Preventivo",R138="Detectivo"),"Probabilidad",IF(R138="Correctivo","Impacto",""))</f>
        <v>Impacto</v>
      </c>
      <c r="R138" s="126" t="s">
        <v>14</v>
      </c>
      <c r="S138" s="126" t="s">
        <v>9</v>
      </c>
      <c r="T138" s="127">
        <v>0.67</v>
      </c>
      <c r="U138" s="126" t="s">
        <v>17</v>
      </c>
      <c r="V138" s="126" t="s">
        <v>20</v>
      </c>
      <c r="W138" s="126" t="s">
        <v>117</v>
      </c>
      <c r="X138" s="128">
        <f>IFERROR(IF(AND(Q137="Probabilidad",Q138="Probabilidad"),(Z137-(+Z137*T138)),IF(Q138="Probabilidad",(I137-(+I137*T138)),IF(Q138="Impacto",Z137,""))),"")</f>
        <v>0.37</v>
      </c>
      <c r="Y138" s="129" t="str">
        <f>IFERROR(IF(X138="","",IF(X138&lt;=0.2,"Muy Baja",IF(X138&lt;=0.4,"Baja",IF(X138&lt;=0.6,"Media",IF(X138&lt;=0.8,"Alta","Muy Alta"))))),"")</f>
        <v>Baja</v>
      </c>
      <c r="Z138" s="130">
        <f>+X138</f>
        <v>0.37</v>
      </c>
      <c r="AA138" s="129" t="str">
        <f t="shared" ref="AA138:AA142" si="173">IFERROR(IF(AB138="","",IF(AB138&lt;=0.2,"Leve",IF(AB138&lt;=0.4,"Menor",IF(AB138&lt;=0.6,"Moderado",IF(AB138&lt;=0.8,"Mayor","Catastrófico"))))),"")</f>
        <v>Leve</v>
      </c>
      <c r="AB138" s="130">
        <f>IFERROR(IF(AND(Q137="Impacto",Q138="Impacto"),(AB137-(+AB137*T138)),IF(Q138="Impacto",(M137-(+M137*T138)),IF(Q138="Probabilidad",AB137,""))),"")</f>
        <v>0.19799999999999995</v>
      </c>
      <c r="AC138" s="131" t="str">
        <f t="shared" ref="AC138" si="174">IFERROR(IF(OR(AND(Y138="Muy Baja",AA138="Leve"),AND(Y138="Muy Baja",AA138="Menor"),AND(Y138="Baja",AA138="Leve")),"Bajo",IF(OR(AND(Y138="Muy baja",AA138="Moderado"),AND(Y138="Baja",AA138="Menor"),AND(Y138="Baja",AA138="Moderado"),AND(Y138="Media",AA138="Leve"),AND(Y138="Media",AA138="Menor"),AND(Y138="Media",AA138="Moderado"),AND(Y138="Alta",AA138="Leve"),AND(Y138="Alta",AA138="Menor")),"Moderado",IF(OR(AND(Y138="Muy Baja",AA138="Mayor"),AND(Y138="Baja",AA138="Mayor"),AND(Y138="Media",AA138="Mayor"),AND(Y138="Alta",AA138="Moderado"),AND(Y138="Alta",AA138="Mayor"),AND(Y138="Muy Alta",AA138="Leve"),AND(Y138="Muy Alta",AA138="Menor"),AND(Y138="Muy Alta",AA138="Moderado"),AND(Y138="Muy Alta",AA138="Mayor")),"Alto",IF(OR(AND(Y138="Muy Baja",AA138="Catastrófico"),AND(Y138="Baja",AA138="Catastrófico"),AND(Y138="Media",AA138="Catastrófico"),AND(Y138="Alta",AA138="Catastrófico"),AND(Y138="Muy Alta",AA138="Catastrófico")),"Extremo","")))),"")</f>
        <v>Bajo</v>
      </c>
      <c r="AD138" s="132" t="s">
        <v>134</v>
      </c>
      <c r="AE138" s="133"/>
      <c r="AF138" s="134"/>
      <c r="AG138" s="135"/>
      <c r="AH138" s="135"/>
      <c r="AI138" s="133"/>
      <c r="AJ138" s="134"/>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row>
    <row r="139" spans="1:68" ht="151.5" customHeight="1" x14ac:dyDescent="0.15">
      <c r="A139" s="196"/>
      <c r="B139" s="199"/>
      <c r="C139" s="199"/>
      <c r="D139" s="199"/>
      <c r="E139" s="202"/>
      <c r="F139" s="199"/>
      <c r="G139" s="205"/>
      <c r="H139" s="190"/>
      <c r="I139" s="187"/>
      <c r="J139" s="184"/>
      <c r="K139" s="187">
        <f>IF(NOT(ISERROR(MATCH(J139,_xlfn.ANCHORARRAY(E327),0))),I329&amp;"Por favor no seleccionar los criterios de impacto",J139)</f>
        <v>0</v>
      </c>
      <c r="L139" s="190"/>
      <c r="M139" s="187"/>
      <c r="N139" s="193"/>
      <c r="O139" s="123"/>
      <c r="P139" s="136"/>
      <c r="Q139" s="125" t="str">
        <f>IF(OR(R139="Preventivo",R139="Detectivo"),"Probabilidad",IF(R139="Correctivo","Impacto",""))</f>
        <v/>
      </c>
      <c r="R139" s="126"/>
      <c r="S139" s="126"/>
      <c r="T139" s="127" t="str">
        <f>IF(AND(R139="Preventivo",S139="Automático"),"50%",IF(AND(R139="Preventivo",S139="Manual"),"40%",IF(AND(R139="Detectivo",S139="Automático"),"40%",IF(AND(R139="Detectivo",S139="Manual"),"30%",IF(AND(R139="Correctivo",S139="Automático"),"35%",IF(AND(R139="Correctivo",S139="Manual"),"25%",""))))))</f>
        <v/>
      </c>
      <c r="U139" s="126"/>
      <c r="V139" s="126"/>
      <c r="W139" s="126"/>
      <c r="X139" s="128" t="str">
        <f>IFERROR(IF(AND(Q138="Probabilidad",Q139="Probabilidad"),(Z138-(+Z138*T139)),IF(AND(Q138="Impacto",Q139="Probabilidad"),(Z137-(+Z137*T139)),IF(Q139="Impacto",Z138,""))),"")</f>
        <v/>
      </c>
      <c r="Y139" s="129" t="str">
        <f>IFERROR(IF(X139="","",IF(X139&lt;=0.2,"Muy Baja",IF(X139&lt;=0.4,"Baja",IF(X139&lt;=0.6,"Media",IF(X139&lt;=0.8,"Alta","Muy Alta"))))),"")</f>
        <v/>
      </c>
      <c r="Z139" s="130" t="str">
        <f>+X139</f>
        <v/>
      </c>
      <c r="AA139" s="129" t="str">
        <f t="shared" si="173"/>
        <v/>
      </c>
      <c r="AB139" s="130" t="str">
        <f>IFERROR(IF(AND(Q138="Impacto",Q139="Impacto"),(AB138-(+AB138*T139)),IF(AND(Q138="Probabilidad",Q139="Impacto"),(AB137-(+AB137*T139)),IF(Q139="Probabilidad",AB138,""))),"")</f>
        <v/>
      </c>
      <c r="AC139" s="131" t="str">
        <f>IFERROR(IF(OR(AND(Y139="Muy Baja",AA139="Leve"),AND(Y139="Muy Baja",AA139="Menor"),AND(Y139="Baja",AA139="Leve")),"Bajo",IF(OR(AND(Y139="Muy baja",AA139="Moderado"),AND(Y139="Baja",AA139="Menor"),AND(Y139="Baja",AA139="Moderado"),AND(Y139="Media",AA139="Leve"),AND(Y139="Media",AA139="Menor"),AND(Y139="Media",AA139="Moderado"),AND(Y139="Alta",AA139="Leve"),AND(Y139="Alta",AA139="Menor")),"Moderado",IF(OR(AND(Y139="Muy Baja",AA139="Mayor"),AND(Y139="Baja",AA139="Mayor"),AND(Y139="Media",AA139="Mayor"),AND(Y139="Alta",AA139="Moderado"),AND(Y139="Alta",AA139="Mayor"),AND(Y139="Muy Alta",AA139="Leve"),AND(Y139="Muy Alta",AA139="Menor"),AND(Y139="Muy Alta",AA139="Moderado"),AND(Y139="Muy Alta",AA139="Mayor")),"Alto",IF(OR(AND(Y139="Muy Baja",AA139="Catastrófico"),AND(Y139="Baja",AA139="Catastrófico"),AND(Y139="Media",AA139="Catastrófico"),AND(Y139="Alta",AA139="Catastrófico"),AND(Y139="Muy Alta",AA139="Catastrófico")),"Extremo","")))),"")</f>
        <v/>
      </c>
      <c r="AD139" s="132"/>
      <c r="AE139" s="133"/>
      <c r="AF139" s="134"/>
      <c r="AG139" s="135"/>
      <c r="AH139" s="135"/>
      <c r="AI139" s="133"/>
      <c r="AJ139" s="134"/>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row>
    <row r="140" spans="1:68" ht="151.5" customHeight="1" x14ac:dyDescent="0.15">
      <c r="A140" s="196"/>
      <c r="B140" s="199"/>
      <c r="C140" s="199"/>
      <c r="D140" s="199"/>
      <c r="E140" s="202"/>
      <c r="F140" s="199"/>
      <c r="G140" s="205"/>
      <c r="H140" s="190"/>
      <c r="I140" s="187"/>
      <c r="J140" s="184"/>
      <c r="K140" s="187">
        <f>IF(NOT(ISERROR(MATCH(J140,_xlfn.ANCHORARRAY(E328),0))),I330&amp;"Por favor no seleccionar los criterios de impacto",J140)</f>
        <v>0</v>
      </c>
      <c r="L140" s="190"/>
      <c r="M140" s="187"/>
      <c r="N140" s="193"/>
      <c r="O140" s="123"/>
      <c r="P140" s="124"/>
      <c r="Q140" s="125" t="str">
        <f t="shared" ref="Q140:Q141" si="175">IF(OR(R140="Preventivo",R140="Detectivo"),"Probabilidad",IF(R140="Correctivo","Impacto",""))</f>
        <v/>
      </c>
      <c r="R140" s="126"/>
      <c r="S140" s="126"/>
      <c r="T140" s="127" t="str">
        <f t="shared" ref="T140:T142" si="176">IF(AND(R140="Preventivo",S140="Automático"),"50%",IF(AND(R140="Preventivo",S140="Manual"),"40%",IF(AND(R140="Detectivo",S140="Automático"),"40%",IF(AND(R140="Detectivo",S140="Manual"),"30%",IF(AND(R140="Correctivo",S140="Automático"),"35%",IF(AND(R140="Correctivo",S140="Manual"),"25%",""))))))</f>
        <v/>
      </c>
      <c r="U140" s="126"/>
      <c r="V140" s="126"/>
      <c r="W140" s="126"/>
      <c r="X140" s="128" t="str">
        <f t="shared" ref="X140:X142" si="177">IFERROR(IF(AND(Q139="Probabilidad",Q140="Probabilidad"),(Z139-(+Z139*T140)),IF(AND(Q139="Impacto",Q140="Probabilidad"),(Z138-(+Z138*T140)),IF(Q140="Impacto",Z139,""))),"")</f>
        <v/>
      </c>
      <c r="Y140" s="129" t="str">
        <f t="shared" ref="Y140:Y142" si="178">IFERROR(IF(X140="","",IF(X140&lt;=0.2,"Muy Baja",IF(X140&lt;=0.4,"Baja",IF(X140&lt;=0.6,"Media",IF(X140&lt;=0.8,"Alta","Muy Alta"))))),"")</f>
        <v/>
      </c>
      <c r="Z140" s="130" t="str">
        <f t="shared" ref="Z140:Z142" si="179">+X140</f>
        <v/>
      </c>
      <c r="AA140" s="129" t="str">
        <f t="shared" si="173"/>
        <v/>
      </c>
      <c r="AB140" s="130" t="str">
        <f t="shared" ref="AB140:AB142" si="180">IFERROR(IF(AND(Q139="Impacto",Q140="Impacto"),(AB139-(+AB139*T140)),IF(AND(Q139="Probabilidad",Q140="Impacto"),(AB138-(+AB138*T140)),IF(Q140="Probabilidad",AB139,""))),"")</f>
        <v/>
      </c>
      <c r="AC140" s="131" t="str">
        <f t="shared" ref="AC140:AC142" si="181">IFERROR(IF(OR(AND(Y140="Muy Baja",AA140="Leve"),AND(Y140="Muy Baja",AA140="Menor"),AND(Y140="Baja",AA140="Leve")),"Bajo",IF(OR(AND(Y140="Muy baja",AA140="Moderado"),AND(Y140="Baja",AA140="Menor"),AND(Y140="Baja",AA140="Moderado"),AND(Y140="Media",AA140="Leve"),AND(Y140="Media",AA140="Menor"),AND(Y140="Media",AA140="Moderado"),AND(Y140="Alta",AA140="Leve"),AND(Y140="Alta",AA140="Menor")),"Moderado",IF(OR(AND(Y140="Muy Baja",AA140="Mayor"),AND(Y140="Baja",AA140="Mayor"),AND(Y140="Media",AA140="Mayor"),AND(Y140="Alta",AA140="Moderado"),AND(Y140="Alta",AA140="Mayor"),AND(Y140="Muy Alta",AA140="Leve"),AND(Y140="Muy Alta",AA140="Menor"),AND(Y140="Muy Alta",AA140="Moderado"),AND(Y140="Muy Alta",AA140="Mayor")),"Alto",IF(OR(AND(Y140="Muy Baja",AA140="Catastrófico"),AND(Y140="Baja",AA140="Catastrófico"),AND(Y140="Media",AA140="Catastrófico"),AND(Y140="Alta",AA140="Catastrófico"),AND(Y140="Muy Alta",AA140="Catastrófico")),"Extremo","")))),"")</f>
        <v/>
      </c>
      <c r="AD140" s="132"/>
      <c r="AE140" s="133"/>
      <c r="AF140" s="134"/>
      <c r="AG140" s="135"/>
      <c r="AH140" s="135"/>
      <c r="AI140" s="133"/>
      <c r="AJ140" s="134"/>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row>
    <row r="141" spans="1:68" ht="151.5" customHeight="1" x14ac:dyDescent="0.15">
      <c r="A141" s="196"/>
      <c r="B141" s="199"/>
      <c r="C141" s="199"/>
      <c r="D141" s="199"/>
      <c r="E141" s="202"/>
      <c r="F141" s="199"/>
      <c r="G141" s="205"/>
      <c r="H141" s="190"/>
      <c r="I141" s="187"/>
      <c r="J141" s="184"/>
      <c r="K141" s="187">
        <f>IF(NOT(ISERROR(MATCH(J141,_xlfn.ANCHORARRAY(E329),0))),I331&amp;"Por favor no seleccionar los criterios de impacto",J141)</f>
        <v>0</v>
      </c>
      <c r="L141" s="190"/>
      <c r="M141" s="187"/>
      <c r="N141" s="193"/>
      <c r="O141" s="123"/>
      <c r="P141" s="124"/>
      <c r="Q141" s="125" t="str">
        <f t="shared" si="175"/>
        <v/>
      </c>
      <c r="R141" s="126"/>
      <c r="S141" s="126"/>
      <c r="T141" s="127" t="str">
        <f t="shared" si="176"/>
        <v/>
      </c>
      <c r="U141" s="126"/>
      <c r="V141" s="126"/>
      <c r="W141" s="126"/>
      <c r="X141" s="128" t="str">
        <f t="shared" si="177"/>
        <v/>
      </c>
      <c r="Y141" s="129" t="str">
        <f t="shared" si="178"/>
        <v/>
      </c>
      <c r="Z141" s="130" t="str">
        <f t="shared" si="179"/>
        <v/>
      </c>
      <c r="AA141" s="129" t="str">
        <f t="shared" si="173"/>
        <v/>
      </c>
      <c r="AB141" s="130" t="str">
        <f t="shared" si="180"/>
        <v/>
      </c>
      <c r="AC141" s="131" t="str">
        <f t="shared" si="181"/>
        <v/>
      </c>
      <c r="AD141" s="132"/>
      <c r="AE141" s="133"/>
      <c r="AF141" s="134"/>
      <c r="AG141" s="135"/>
      <c r="AH141" s="135"/>
      <c r="AI141" s="133"/>
      <c r="AJ141" s="134"/>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row>
    <row r="142" spans="1:68" ht="151.5" customHeight="1" x14ac:dyDescent="0.15">
      <c r="A142" s="197"/>
      <c r="B142" s="200"/>
      <c r="C142" s="200"/>
      <c r="D142" s="200"/>
      <c r="E142" s="203"/>
      <c r="F142" s="200"/>
      <c r="G142" s="206"/>
      <c r="H142" s="191"/>
      <c r="I142" s="188"/>
      <c r="J142" s="185"/>
      <c r="K142" s="188">
        <f>IF(NOT(ISERROR(MATCH(J142,_xlfn.ANCHORARRAY(E330),0))),I332&amp;"Por favor no seleccionar los criterios de impacto",J142)</f>
        <v>0</v>
      </c>
      <c r="L142" s="191"/>
      <c r="M142" s="188"/>
      <c r="N142" s="194"/>
      <c r="O142" s="123"/>
      <c r="P142" s="124"/>
      <c r="Q142" s="125" t="str">
        <f>IF(OR(R142="Preventivo",R142="Detectivo"),"Probabilidad",IF(R142="Correctivo","Impacto",""))</f>
        <v/>
      </c>
      <c r="R142" s="126"/>
      <c r="S142" s="126"/>
      <c r="T142" s="127" t="str">
        <f t="shared" si="176"/>
        <v/>
      </c>
      <c r="U142" s="126"/>
      <c r="V142" s="126"/>
      <c r="W142" s="126"/>
      <c r="X142" s="128" t="str">
        <f t="shared" si="177"/>
        <v/>
      </c>
      <c r="Y142" s="129" t="str">
        <f t="shared" si="178"/>
        <v/>
      </c>
      <c r="Z142" s="130" t="str">
        <f t="shared" si="179"/>
        <v/>
      </c>
      <c r="AA142" s="129" t="str">
        <f t="shared" si="173"/>
        <v/>
      </c>
      <c r="AB142" s="130" t="str">
        <f t="shared" si="180"/>
        <v/>
      </c>
      <c r="AC142" s="131" t="str">
        <f t="shared" si="181"/>
        <v/>
      </c>
      <c r="AD142" s="132"/>
      <c r="AE142" s="133"/>
      <c r="AF142" s="134"/>
      <c r="AG142" s="135"/>
      <c r="AH142" s="135"/>
      <c r="AI142" s="133"/>
      <c r="AJ142" s="134"/>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row>
    <row r="143" spans="1:68" ht="151.5" customHeight="1" x14ac:dyDescent="0.15">
      <c r="A143" s="195">
        <f>+A137+1</f>
        <v>23</v>
      </c>
      <c r="B143" s="198" t="s">
        <v>131</v>
      </c>
      <c r="C143" s="198" t="s">
        <v>292</v>
      </c>
      <c r="D143" s="198"/>
      <c r="E143" s="201" t="s">
        <v>291</v>
      </c>
      <c r="F143" s="198" t="s">
        <v>121</v>
      </c>
      <c r="G143" s="204">
        <v>6000</v>
      </c>
      <c r="H143" s="189" t="str">
        <f>IF(G143&lt;=0,"",IF(G143&lt;=2,"Muy Baja",IF(G143&lt;=24,"Baja",IF(G143&lt;=500,"Media",IF(G143&lt;=5000,"Alta","Muy Alta")))))</f>
        <v>Muy Alta</v>
      </c>
      <c r="I143" s="186">
        <f>IF(H143="","",IF(H143="Muy Baja",0.2,IF(H143="Baja",0.4,IF(H143="Media",0.6,IF(H143="Alta",0.8,IF(H143="Muy Alta",1,))))))</f>
        <v>1</v>
      </c>
      <c r="J143" s="183" t="s">
        <v>148</v>
      </c>
      <c r="K143" s="186" t="str">
        <f>IF(NOT(ISERROR(MATCH(J143,'Tabla Impacto'!$B$221:$B$223,0))),'Tabla Impacto'!$F$223&amp;"Por favor no seleccionar los criterios de impacto(Afectación Económica o presupuestal y Pérdida Reputacional)",J143)</f>
        <v xml:space="preserve">     Entre 10 y 50 SMLMV </v>
      </c>
      <c r="L143" s="189" t="str">
        <f>IF(OR(K143='Tabla Impacto'!$C$11,K143='Tabla Impacto'!$D$11),"Leve",IF(OR(K143='Tabla Impacto'!$C$12,K143='Tabla Impacto'!$D$12),"Menor",IF(OR(K143='Tabla Impacto'!$C$13,K143='Tabla Impacto'!$D$13),"Moderado",IF(OR(K143='Tabla Impacto'!$C$14,K143='Tabla Impacto'!$D$14),"Mayor",IF(OR(K143='Tabla Impacto'!$C$15,K143='Tabla Impacto'!$D$15),"Catastrófico","")))))</f>
        <v>Menor</v>
      </c>
      <c r="M143" s="186">
        <f>IF(L143="","",IF(L143="Leve",0.2,IF(L143="Menor",0.4,IF(L143="Moderado",0.6,IF(L143="Mayor",0.8,IF(L143="Catastrófico",1,))))))</f>
        <v>0.4</v>
      </c>
      <c r="N143" s="192" t="str">
        <f>IF(OR(AND(H143="Muy Baja",L143="Leve"),AND(H143="Muy Baja",L143="Menor"),AND(H143="Baja",L143="Leve")),"Bajo",IF(OR(AND(H143="Muy baja",L143="Moderado"),AND(H143="Baja",L143="Menor"),AND(H143="Baja",L143="Moderado"),AND(H143="Media",L143="Leve"),AND(H143="Media",L143="Menor"),AND(H143="Media",L143="Moderado"),AND(H143="Alta",L143="Leve"),AND(H143="Alta",L143="Menor")),"Moderado",IF(OR(AND(H143="Muy Baja",L143="Mayor"),AND(H143="Baja",L143="Mayor"),AND(H143="Media",L143="Mayor"),AND(H143="Alta",L143="Moderado"),AND(H143="Alta",L143="Mayor"),AND(H143="Muy Alta",L143="Leve"),AND(H143="Muy Alta",L143="Menor"),AND(H143="Muy Alta",L143="Moderado"),AND(H143="Muy Alta",L143="Mayor")),"Alto",IF(OR(AND(H143="Muy Baja",L143="Catastrófico"),AND(H143="Baja",L143="Catastrófico"),AND(H143="Media",L143="Catastrófico"),AND(H143="Alta",L143="Catastrófico"),AND(H143="Muy Alta",L143="Catastrófico")),"Extremo",""))))</f>
        <v>Alto</v>
      </c>
      <c r="O143" s="123">
        <v>1</v>
      </c>
      <c r="P143" s="124" t="s">
        <v>293</v>
      </c>
      <c r="Q143" s="125" t="str">
        <f>IF(OR(R143="Preventivo",R143="Detectivo"),"Probabilidad",IF(R143="Correctivo","Impacto",""))</f>
        <v>Probabilidad</v>
      </c>
      <c r="R143" s="126" t="s">
        <v>12</v>
      </c>
      <c r="S143" s="126" t="s">
        <v>8</v>
      </c>
      <c r="T143" s="127" t="str">
        <f>IF(AND(R143="Preventivo",S143="Automático"),"50%",IF(AND(R143="Preventivo",S143="Manual"),"40%",IF(AND(R143="Detectivo",S143="Automático"),"40%",IF(AND(R143="Detectivo",S143="Manual"),"30%",IF(AND(R143="Correctivo",S143="Automático"),"35%",IF(AND(R143="Correctivo",S143="Manual"),"25%",""))))))</f>
        <v>40%</v>
      </c>
      <c r="U143" s="126" t="s">
        <v>17</v>
      </c>
      <c r="V143" s="126" t="s">
        <v>20</v>
      </c>
      <c r="W143" s="126" t="s">
        <v>117</v>
      </c>
      <c r="X143" s="128">
        <f>IFERROR(IF(Q143="Probabilidad",(I143-(+I143*T143)),IF(Q143="Impacto",I143,"")),"")</f>
        <v>0.6</v>
      </c>
      <c r="Y143" s="129" t="str">
        <f>IFERROR(IF(X143="","",IF(X143&lt;=0.2,"Muy Baja",IF(X143&lt;=0.4,"Baja",IF(X143&lt;=0.6,"Media",IF(X143&lt;=0.8,"Alta","Muy Alta"))))),"")</f>
        <v>Media</v>
      </c>
      <c r="Z143" s="130">
        <f>+X143</f>
        <v>0.6</v>
      </c>
      <c r="AA143" s="129" t="str">
        <f>IFERROR(IF(AB143="","",IF(AB143&lt;=0.2,"Leve",IF(AB143&lt;=0.4,"Menor",IF(AB143&lt;=0.6,"Moderado",IF(AB143&lt;=0.8,"Mayor","Catastrófico"))))),"")</f>
        <v>Menor</v>
      </c>
      <c r="AB143" s="130">
        <f>IFERROR(IF(Q143="Impacto",(M143-(+M143*T143)),IF(Q143="Probabilidad",M143,"")),"")</f>
        <v>0.4</v>
      </c>
      <c r="AC143" s="131" t="str">
        <f>IFERROR(IF(OR(AND(Y143="Muy Baja",AA143="Leve"),AND(Y143="Muy Baja",AA143="Menor"),AND(Y143="Baja",AA143="Leve")),"Bajo",IF(OR(AND(Y143="Muy baja",AA143="Moderado"),AND(Y143="Baja",AA143="Menor"),AND(Y143="Baja",AA143="Moderado"),AND(Y143="Media",AA143="Leve"),AND(Y143="Media",AA143="Menor"),AND(Y143="Media",AA143="Moderado"),AND(Y143="Alta",AA143="Leve"),AND(Y143="Alta",AA143="Menor")),"Moderado",IF(OR(AND(Y143="Muy Baja",AA143="Mayor"),AND(Y143="Baja",AA143="Mayor"),AND(Y143="Media",AA143="Mayor"),AND(Y143="Alta",AA143="Moderado"),AND(Y143="Alta",AA143="Mayor"),AND(Y143="Muy Alta",AA143="Leve"),AND(Y143="Muy Alta",AA143="Menor"),AND(Y143="Muy Alta",AA143="Moderado"),AND(Y143="Muy Alta",AA143="Mayor")),"Alto",IF(OR(AND(Y143="Muy Baja",AA143="Catastrófico"),AND(Y143="Baja",AA143="Catastrófico"),AND(Y143="Media",AA143="Catastrófico"),AND(Y143="Alta",AA143="Catastrófico"),AND(Y143="Muy Alta",AA143="Catastrófico")),"Extremo","")))),"")</f>
        <v>Moderado</v>
      </c>
      <c r="AD143" s="132" t="s">
        <v>134</v>
      </c>
      <c r="AE143" s="133" t="s">
        <v>336</v>
      </c>
      <c r="AF143" s="134"/>
      <c r="AG143" s="135"/>
      <c r="AH143" s="135"/>
      <c r="AI143" s="133"/>
      <c r="AJ143" s="134"/>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row>
    <row r="144" spans="1:68" ht="151.5" customHeight="1" x14ac:dyDescent="0.15">
      <c r="A144" s="196"/>
      <c r="B144" s="199"/>
      <c r="C144" s="199"/>
      <c r="D144" s="199"/>
      <c r="E144" s="202"/>
      <c r="F144" s="199"/>
      <c r="G144" s="205"/>
      <c r="H144" s="190"/>
      <c r="I144" s="187"/>
      <c r="J144" s="184"/>
      <c r="K144" s="187">
        <f>IF(NOT(ISERROR(MATCH(J144,_xlfn.ANCHORARRAY(E338),0))),I340&amp;"Por favor no seleccionar los criterios de impacto",J144)</f>
        <v>0</v>
      </c>
      <c r="L144" s="190"/>
      <c r="M144" s="187"/>
      <c r="N144" s="193"/>
      <c r="O144" s="123">
        <v>2</v>
      </c>
      <c r="P144" s="124"/>
      <c r="Q144" s="125" t="str">
        <f>IF(OR(R144="Preventivo",R144="Detectivo"),"Probabilidad",IF(R144="Correctivo","Impacto",""))</f>
        <v/>
      </c>
      <c r="R144" s="126"/>
      <c r="S144" s="126"/>
      <c r="T144" s="127" t="str">
        <f t="shared" ref="T144" si="182">IF(AND(R144="Preventivo",S144="Automático"),"50%",IF(AND(R144="Preventivo",S144="Manual"),"40%",IF(AND(R144="Detectivo",S144="Automático"),"40%",IF(AND(R144="Detectivo",S144="Manual"),"30%",IF(AND(R144="Correctivo",S144="Automático"),"35%",IF(AND(R144="Correctivo",S144="Manual"),"25%",""))))))</f>
        <v/>
      </c>
      <c r="U144" s="126"/>
      <c r="V144" s="126"/>
      <c r="W144" s="126"/>
      <c r="X144" s="128" t="str">
        <f>IFERROR(IF(AND(Q143="Probabilidad",Q144="Probabilidad"),(Z143-(+Z143*T144)),IF(Q144="Probabilidad",(I143-(+I143*T144)),IF(Q144="Impacto",Z143,""))),"")</f>
        <v/>
      </c>
      <c r="Y144" s="129" t="str">
        <f>IFERROR(IF(X144="","",IF(X144&lt;=0.2,"Muy Baja",IF(X144&lt;=0.4,"Baja",IF(X144&lt;=0.6,"Media",IF(X144&lt;=0.8,"Alta","Muy Alta"))))),"")</f>
        <v/>
      </c>
      <c r="Z144" s="130" t="str">
        <f>+X144</f>
        <v/>
      </c>
      <c r="AA144" s="129" t="str">
        <f t="shared" ref="AA144:AA148" si="183">IFERROR(IF(AB144="","",IF(AB144&lt;=0.2,"Leve",IF(AB144&lt;=0.4,"Menor",IF(AB144&lt;=0.6,"Moderado",IF(AB144&lt;=0.8,"Mayor","Catastrófico"))))),"")</f>
        <v/>
      </c>
      <c r="AB144" s="130" t="str">
        <f>IFERROR(IF(AND(Q143="Impacto",Q144="Impacto"),(AB143-(+AB143*T144)),IF(Q144="Impacto",(M143-(+M143*T144)),IF(Q144="Probabilidad",AB143,""))),"")</f>
        <v/>
      </c>
      <c r="AC144" s="131" t="str">
        <f t="shared" ref="AC144" si="184">IFERROR(IF(OR(AND(Y144="Muy Baja",AA144="Leve"),AND(Y144="Muy Baja",AA144="Menor"),AND(Y144="Baja",AA144="Leve")),"Bajo",IF(OR(AND(Y144="Muy baja",AA144="Moderado"),AND(Y144="Baja",AA144="Menor"),AND(Y144="Baja",AA144="Moderado"),AND(Y144="Media",AA144="Leve"),AND(Y144="Media",AA144="Menor"),AND(Y144="Media",AA144="Moderado"),AND(Y144="Alta",AA144="Leve"),AND(Y144="Alta",AA144="Menor")),"Moderado",IF(OR(AND(Y144="Muy Baja",AA144="Mayor"),AND(Y144="Baja",AA144="Mayor"),AND(Y144="Media",AA144="Mayor"),AND(Y144="Alta",AA144="Moderado"),AND(Y144="Alta",AA144="Mayor"),AND(Y144="Muy Alta",AA144="Leve"),AND(Y144="Muy Alta",AA144="Menor"),AND(Y144="Muy Alta",AA144="Moderado"),AND(Y144="Muy Alta",AA144="Mayor")),"Alto",IF(OR(AND(Y144="Muy Baja",AA144="Catastrófico"),AND(Y144="Baja",AA144="Catastrófico"),AND(Y144="Media",AA144="Catastrófico"),AND(Y144="Alta",AA144="Catastrófico"),AND(Y144="Muy Alta",AA144="Catastrófico")),"Extremo","")))),"")</f>
        <v/>
      </c>
      <c r="AD144" s="132"/>
      <c r="AE144" s="133" t="s">
        <v>337</v>
      </c>
      <c r="AF144" s="134"/>
      <c r="AG144" s="135"/>
      <c r="AH144" s="135"/>
      <c r="AI144" s="133"/>
      <c r="AJ144" s="134"/>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row>
    <row r="145" spans="1:68" ht="151.5" customHeight="1" x14ac:dyDescent="0.15">
      <c r="A145" s="196"/>
      <c r="B145" s="199"/>
      <c r="C145" s="199"/>
      <c r="D145" s="199"/>
      <c r="E145" s="202"/>
      <c r="F145" s="199"/>
      <c r="G145" s="205"/>
      <c r="H145" s="190"/>
      <c r="I145" s="187"/>
      <c r="J145" s="184"/>
      <c r="K145" s="187">
        <f>IF(NOT(ISERROR(MATCH(J145,_xlfn.ANCHORARRAY(E339),0))),I341&amp;"Por favor no seleccionar los criterios de impacto",J145)</f>
        <v>0</v>
      </c>
      <c r="L145" s="190"/>
      <c r="M145" s="187"/>
      <c r="N145" s="193"/>
      <c r="O145" s="123"/>
      <c r="P145" s="136"/>
      <c r="Q145" s="125" t="str">
        <f>IF(OR(R145="Preventivo",R145="Detectivo"),"Probabilidad",IF(R145="Correctivo","Impacto",""))</f>
        <v/>
      </c>
      <c r="R145" s="126"/>
      <c r="S145" s="126"/>
      <c r="T145" s="127" t="str">
        <f>IF(AND(R145="Preventivo",S145="Automático"),"50%",IF(AND(R145="Preventivo",S145="Manual"),"40%",IF(AND(R145="Detectivo",S145="Automático"),"40%",IF(AND(R145="Detectivo",S145="Manual"),"30%",IF(AND(R145="Correctivo",S145="Automático"),"35%",IF(AND(R145="Correctivo",S145="Manual"),"25%",""))))))</f>
        <v/>
      </c>
      <c r="U145" s="126"/>
      <c r="V145" s="126"/>
      <c r="W145" s="126"/>
      <c r="X145" s="128" t="str">
        <f>IFERROR(IF(AND(Q144="Probabilidad",Q145="Probabilidad"),(Z144-(+Z144*T145)),IF(AND(Q144="Impacto",Q145="Probabilidad"),(Z143-(+Z143*T145)),IF(Q145="Impacto",Z144,""))),"")</f>
        <v/>
      </c>
      <c r="Y145" s="129" t="str">
        <f>IFERROR(IF(X145="","",IF(X145&lt;=0.2,"Muy Baja",IF(X145&lt;=0.4,"Baja",IF(X145&lt;=0.6,"Media",IF(X145&lt;=0.8,"Alta","Muy Alta"))))),"")</f>
        <v/>
      </c>
      <c r="Z145" s="130" t="str">
        <f>+X145</f>
        <v/>
      </c>
      <c r="AA145" s="129" t="str">
        <f t="shared" si="183"/>
        <v/>
      </c>
      <c r="AB145" s="130" t="str">
        <f>IFERROR(IF(AND(Q144="Impacto",Q145="Impacto"),(AB144-(+AB144*T145)),IF(AND(Q144="Probabilidad",Q145="Impacto"),(AB143-(+AB143*T145)),IF(Q145="Probabilidad",AB144,""))),"")</f>
        <v/>
      </c>
      <c r="AC145" s="131" t="str">
        <f>IFERROR(IF(OR(AND(Y145="Muy Baja",AA145="Leve"),AND(Y145="Muy Baja",AA145="Menor"),AND(Y145="Baja",AA145="Leve")),"Bajo",IF(OR(AND(Y145="Muy baja",AA145="Moderado"),AND(Y145="Baja",AA145="Menor"),AND(Y145="Baja",AA145="Moderado"),AND(Y145="Media",AA145="Leve"),AND(Y145="Media",AA145="Menor"),AND(Y145="Media",AA145="Moderado"),AND(Y145="Alta",AA145="Leve"),AND(Y145="Alta",AA145="Menor")),"Moderado",IF(OR(AND(Y145="Muy Baja",AA145="Mayor"),AND(Y145="Baja",AA145="Mayor"),AND(Y145="Media",AA145="Mayor"),AND(Y145="Alta",AA145="Moderado"),AND(Y145="Alta",AA145="Mayor"),AND(Y145="Muy Alta",AA145="Leve"),AND(Y145="Muy Alta",AA145="Menor"),AND(Y145="Muy Alta",AA145="Moderado"),AND(Y145="Muy Alta",AA145="Mayor")),"Alto",IF(OR(AND(Y145="Muy Baja",AA145="Catastrófico"),AND(Y145="Baja",AA145="Catastrófico"),AND(Y145="Media",AA145="Catastrófico"),AND(Y145="Alta",AA145="Catastrófico"),AND(Y145="Muy Alta",AA145="Catastrófico")),"Extremo","")))),"")</f>
        <v/>
      </c>
      <c r="AD145" s="132"/>
      <c r="AE145" s="133"/>
      <c r="AF145" s="134"/>
      <c r="AG145" s="135"/>
      <c r="AH145" s="135"/>
      <c r="AI145" s="133"/>
      <c r="AJ145" s="134"/>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row>
    <row r="146" spans="1:68" ht="151.5" customHeight="1" x14ac:dyDescent="0.15">
      <c r="A146" s="196"/>
      <c r="B146" s="199"/>
      <c r="C146" s="199"/>
      <c r="D146" s="199"/>
      <c r="E146" s="202"/>
      <c r="F146" s="199"/>
      <c r="G146" s="205"/>
      <c r="H146" s="190"/>
      <c r="I146" s="187"/>
      <c r="J146" s="184"/>
      <c r="K146" s="187">
        <f>IF(NOT(ISERROR(MATCH(J146,_xlfn.ANCHORARRAY(E340),0))),I342&amp;"Por favor no seleccionar los criterios de impacto",J146)</f>
        <v>0</v>
      </c>
      <c r="L146" s="190"/>
      <c r="M146" s="187"/>
      <c r="N146" s="193"/>
      <c r="O146" s="123"/>
      <c r="P146" s="124"/>
      <c r="Q146" s="125" t="str">
        <f t="shared" ref="Q146:Q147" si="185">IF(OR(R146="Preventivo",R146="Detectivo"),"Probabilidad",IF(R146="Correctivo","Impacto",""))</f>
        <v/>
      </c>
      <c r="R146" s="126"/>
      <c r="S146" s="126"/>
      <c r="T146" s="127" t="str">
        <f t="shared" ref="T146:T148" si="186">IF(AND(R146="Preventivo",S146="Automático"),"50%",IF(AND(R146="Preventivo",S146="Manual"),"40%",IF(AND(R146="Detectivo",S146="Automático"),"40%",IF(AND(R146="Detectivo",S146="Manual"),"30%",IF(AND(R146="Correctivo",S146="Automático"),"35%",IF(AND(R146="Correctivo",S146="Manual"),"25%",""))))))</f>
        <v/>
      </c>
      <c r="U146" s="126"/>
      <c r="V146" s="126"/>
      <c r="W146" s="126"/>
      <c r="X146" s="128" t="str">
        <f t="shared" ref="X146:X148" si="187">IFERROR(IF(AND(Q145="Probabilidad",Q146="Probabilidad"),(Z145-(+Z145*T146)),IF(AND(Q145="Impacto",Q146="Probabilidad"),(Z144-(+Z144*T146)),IF(Q146="Impacto",Z145,""))),"")</f>
        <v/>
      </c>
      <c r="Y146" s="129" t="str">
        <f t="shared" ref="Y146:Y148" si="188">IFERROR(IF(X146="","",IF(X146&lt;=0.2,"Muy Baja",IF(X146&lt;=0.4,"Baja",IF(X146&lt;=0.6,"Media",IF(X146&lt;=0.8,"Alta","Muy Alta"))))),"")</f>
        <v/>
      </c>
      <c r="Z146" s="130" t="str">
        <f t="shared" ref="Z146:Z148" si="189">+X146</f>
        <v/>
      </c>
      <c r="AA146" s="129" t="str">
        <f t="shared" si="183"/>
        <v/>
      </c>
      <c r="AB146" s="130" t="str">
        <f t="shared" ref="AB146:AB148" si="190">IFERROR(IF(AND(Q145="Impacto",Q146="Impacto"),(AB145-(+AB145*T146)),IF(AND(Q145="Probabilidad",Q146="Impacto"),(AB144-(+AB144*T146)),IF(Q146="Probabilidad",AB145,""))),"")</f>
        <v/>
      </c>
      <c r="AC146" s="131" t="str">
        <f t="shared" ref="AC146:AC148" si="191">IFERROR(IF(OR(AND(Y146="Muy Baja",AA146="Leve"),AND(Y146="Muy Baja",AA146="Menor"),AND(Y146="Baja",AA146="Leve")),"Bajo",IF(OR(AND(Y146="Muy baja",AA146="Moderado"),AND(Y146="Baja",AA146="Menor"),AND(Y146="Baja",AA146="Moderado"),AND(Y146="Media",AA146="Leve"),AND(Y146="Media",AA146="Menor"),AND(Y146="Media",AA146="Moderado"),AND(Y146="Alta",AA146="Leve"),AND(Y146="Alta",AA146="Menor")),"Moderado",IF(OR(AND(Y146="Muy Baja",AA146="Mayor"),AND(Y146="Baja",AA146="Mayor"),AND(Y146="Media",AA146="Mayor"),AND(Y146="Alta",AA146="Moderado"),AND(Y146="Alta",AA146="Mayor"),AND(Y146="Muy Alta",AA146="Leve"),AND(Y146="Muy Alta",AA146="Menor"),AND(Y146="Muy Alta",AA146="Moderado"),AND(Y146="Muy Alta",AA146="Mayor")),"Alto",IF(OR(AND(Y146="Muy Baja",AA146="Catastrófico"),AND(Y146="Baja",AA146="Catastrófico"),AND(Y146="Media",AA146="Catastrófico"),AND(Y146="Alta",AA146="Catastrófico"),AND(Y146="Muy Alta",AA146="Catastrófico")),"Extremo","")))),"")</f>
        <v/>
      </c>
      <c r="AD146" s="132"/>
      <c r="AE146" s="133"/>
      <c r="AF146" s="134"/>
      <c r="AG146" s="135"/>
      <c r="AH146" s="135"/>
      <c r="AI146" s="133"/>
      <c r="AJ146" s="134"/>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row>
    <row r="147" spans="1:68" ht="151.5" customHeight="1" x14ac:dyDescent="0.15">
      <c r="A147" s="196"/>
      <c r="B147" s="199"/>
      <c r="C147" s="199"/>
      <c r="D147" s="199"/>
      <c r="E147" s="202"/>
      <c r="F147" s="199"/>
      <c r="G147" s="205"/>
      <c r="H147" s="190"/>
      <c r="I147" s="187"/>
      <c r="J147" s="184"/>
      <c r="K147" s="187">
        <f>IF(NOT(ISERROR(MATCH(J147,_xlfn.ANCHORARRAY(E341),0))),I343&amp;"Por favor no seleccionar los criterios de impacto",J147)</f>
        <v>0</v>
      </c>
      <c r="L147" s="190"/>
      <c r="M147" s="187"/>
      <c r="N147" s="193"/>
      <c r="O147" s="123"/>
      <c r="P147" s="124"/>
      <c r="Q147" s="125" t="str">
        <f t="shared" si="185"/>
        <v/>
      </c>
      <c r="R147" s="126"/>
      <c r="S147" s="126"/>
      <c r="T147" s="127" t="str">
        <f t="shared" si="186"/>
        <v/>
      </c>
      <c r="U147" s="126"/>
      <c r="V147" s="126"/>
      <c r="W147" s="126"/>
      <c r="X147" s="128" t="str">
        <f t="shared" si="187"/>
        <v/>
      </c>
      <c r="Y147" s="129" t="str">
        <f t="shared" si="188"/>
        <v/>
      </c>
      <c r="Z147" s="130" t="str">
        <f t="shared" si="189"/>
        <v/>
      </c>
      <c r="AA147" s="129" t="str">
        <f t="shared" si="183"/>
        <v/>
      </c>
      <c r="AB147" s="130" t="str">
        <f t="shared" si="190"/>
        <v/>
      </c>
      <c r="AC147" s="131" t="str">
        <f t="shared" si="191"/>
        <v/>
      </c>
      <c r="AD147" s="132"/>
      <c r="AE147" s="133"/>
      <c r="AF147" s="134"/>
      <c r="AG147" s="135"/>
      <c r="AH147" s="135"/>
      <c r="AI147" s="133"/>
      <c r="AJ147" s="134"/>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row>
    <row r="148" spans="1:68" ht="151.5" customHeight="1" x14ac:dyDescent="0.15">
      <c r="A148" s="197"/>
      <c r="B148" s="200"/>
      <c r="C148" s="200"/>
      <c r="D148" s="200"/>
      <c r="E148" s="203"/>
      <c r="F148" s="200"/>
      <c r="G148" s="206"/>
      <c r="H148" s="191"/>
      <c r="I148" s="188"/>
      <c r="J148" s="185"/>
      <c r="K148" s="188">
        <f>IF(NOT(ISERROR(MATCH(J148,_xlfn.ANCHORARRAY(E342),0))),I344&amp;"Por favor no seleccionar los criterios de impacto",J148)</f>
        <v>0</v>
      </c>
      <c r="L148" s="191"/>
      <c r="M148" s="188"/>
      <c r="N148" s="194"/>
      <c r="O148" s="123"/>
      <c r="P148" s="124"/>
      <c r="Q148" s="125" t="str">
        <f>IF(OR(R148="Preventivo",R148="Detectivo"),"Probabilidad",IF(R148="Correctivo","Impacto",""))</f>
        <v/>
      </c>
      <c r="R148" s="126"/>
      <c r="S148" s="126"/>
      <c r="T148" s="127" t="str">
        <f t="shared" si="186"/>
        <v/>
      </c>
      <c r="U148" s="126"/>
      <c r="V148" s="126"/>
      <c r="W148" s="126"/>
      <c r="X148" s="128" t="str">
        <f t="shared" si="187"/>
        <v/>
      </c>
      <c r="Y148" s="129" t="str">
        <f t="shared" si="188"/>
        <v/>
      </c>
      <c r="Z148" s="130" t="str">
        <f t="shared" si="189"/>
        <v/>
      </c>
      <c r="AA148" s="129" t="str">
        <f t="shared" si="183"/>
        <v/>
      </c>
      <c r="AB148" s="130" t="str">
        <f t="shared" si="190"/>
        <v/>
      </c>
      <c r="AC148" s="131" t="str">
        <f t="shared" si="191"/>
        <v/>
      </c>
      <c r="AD148" s="132"/>
      <c r="AE148" s="133"/>
      <c r="AF148" s="134"/>
      <c r="AG148" s="135"/>
      <c r="AH148" s="135"/>
      <c r="AI148" s="133"/>
      <c r="AJ148" s="134"/>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row>
    <row r="149" spans="1:68" ht="151.5" customHeight="1" x14ac:dyDescent="0.15">
      <c r="A149" s="195">
        <f>+A143+1</f>
        <v>24</v>
      </c>
      <c r="B149" s="198" t="s">
        <v>131</v>
      </c>
      <c r="C149" s="198" t="s">
        <v>295</v>
      </c>
      <c r="D149" s="198"/>
      <c r="E149" s="201" t="s">
        <v>294</v>
      </c>
      <c r="F149" s="198" t="s">
        <v>121</v>
      </c>
      <c r="G149" s="204">
        <v>6000</v>
      </c>
      <c r="H149" s="189" t="str">
        <f>IF(G149&lt;=0,"",IF(G149&lt;=2,"Muy Baja",IF(G149&lt;=24,"Baja",IF(G149&lt;=500,"Media",IF(G149&lt;=5000,"Alta","Muy Alta")))))</f>
        <v>Muy Alta</v>
      </c>
      <c r="I149" s="186">
        <f>IF(H149="","",IF(H149="Muy Baja",0.2,IF(H149="Baja",0.4,IF(H149="Media",0.6,IF(H149="Alta",0.8,IF(H149="Muy Alta",1,))))))</f>
        <v>1</v>
      </c>
      <c r="J149" s="183" t="s">
        <v>148</v>
      </c>
      <c r="K149" s="186" t="str">
        <f>IF(NOT(ISERROR(MATCH(J149,'Tabla Impacto'!$B$221:$B$223,0))),'Tabla Impacto'!$F$223&amp;"Por favor no seleccionar los criterios de impacto(Afectación Económica o presupuestal y Pérdida Reputacional)",J149)</f>
        <v xml:space="preserve">     Entre 10 y 50 SMLMV </v>
      </c>
      <c r="L149" s="189" t="str">
        <f>IF(OR(K149='Tabla Impacto'!$C$11,K149='Tabla Impacto'!$D$11),"Leve",IF(OR(K149='Tabla Impacto'!$C$12,K149='Tabla Impacto'!$D$12),"Menor",IF(OR(K149='Tabla Impacto'!$C$13,K149='Tabla Impacto'!$D$13),"Moderado",IF(OR(K149='Tabla Impacto'!$C$14,K149='Tabla Impacto'!$D$14),"Mayor",IF(OR(K149='Tabla Impacto'!$C$15,K149='Tabla Impacto'!$D$15),"Catastrófico","")))))</f>
        <v>Menor</v>
      </c>
      <c r="M149" s="186">
        <f>IF(L149="","",IF(L149="Leve",0.2,IF(L149="Menor",0.4,IF(L149="Moderado",0.6,IF(L149="Mayor",0.8,IF(L149="Catastrófico",1,))))))</f>
        <v>0.4</v>
      </c>
      <c r="N149" s="192" t="str">
        <f>IF(OR(AND(H149="Muy Baja",L149="Leve"),AND(H149="Muy Baja",L149="Menor"),AND(H149="Baja",L149="Leve")),"Bajo",IF(OR(AND(H149="Muy baja",L149="Moderado"),AND(H149="Baja",L149="Menor"),AND(H149="Baja",L149="Moderado"),AND(H149="Media",L149="Leve"),AND(H149="Media",L149="Menor"),AND(H149="Media",L149="Moderado"),AND(H149="Alta",L149="Leve"),AND(H149="Alta",L149="Menor")),"Moderado",IF(OR(AND(H149="Muy Baja",L149="Mayor"),AND(H149="Baja",L149="Mayor"),AND(H149="Media",L149="Mayor"),AND(H149="Alta",L149="Moderado"),AND(H149="Alta",L149="Mayor"),AND(H149="Muy Alta",L149="Leve"),AND(H149="Muy Alta",L149="Menor"),AND(H149="Muy Alta",L149="Moderado"),AND(H149="Muy Alta",L149="Mayor")),"Alto",IF(OR(AND(H149="Muy Baja",L149="Catastrófico"),AND(H149="Baja",L149="Catastrófico"),AND(H149="Media",L149="Catastrófico"),AND(H149="Alta",L149="Catastrófico"),AND(H149="Muy Alta",L149="Catastrófico")),"Extremo",""))))</f>
        <v>Alto</v>
      </c>
      <c r="O149" s="123">
        <v>1</v>
      </c>
      <c r="P149" s="124" t="s">
        <v>296</v>
      </c>
      <c r="Q149" s="125" t="str">
        <f>IF(OR(R149="Preventivo",R149="Detectivo"),"Probabilidad",IF(R149="Correctivo","Impacto",""))</f>
        <v>Probabilidad</v>
      </c>
      <c r="R149" s="126" t="s">
        <v>12</v>
      </c>
      <c r="S149" s="126" t="s">
        <v>9</v>
      </c>
      <c r="T149" s="127" t="str">
        <f>IF(AND(R149="Preventivo",S149="Automático"),"50%",IF(AND(R149="Preventivo",S149="Manual"),"40%",IF(AND(R149="Detectivo",S149="Automático"),"40%",IF(AND(R149="Detectivo",S149="Manual"),"30%",IF(AND(R149="Correctivo",S149="Automático"),"35%",IF(AND(R149="Correctivo",S149="Manual"),"25%",""))))))</f>
        <v>50%</v>
      </c>
      <c r="U149" s="126" t="s">
        <v>17</v>
      </c>
      <c r="V149" s="126" t="s">
        <v>20</v>
      </c>
      <c r="W149" s="126" t="s">
        <v>117</v>
      </c>
      <c r="X149" s="128">
        <f>IFERROR(IF(Q149="Probabilidad",(I149-(+I149*T149)),IF(Q149="Impacto",I149,"")),"")</f>
        <v>0.5</v>
      </c>
      <c r="Y149" s="129" t="str">
        <f>IFERROR(IF(X149="","",IF(X149&lt;=0.2,"Muy Baja",IF(X149&lt;=0.4,"Baja",IF(X149&lt;=0.6,"Media",IF(X149&lt;=0.8,"Alta","Muy Alta"))))),"")</f>
        <v>Media</v>
      </c>
      <c r="Z149" s="130">
        <f>+X149</f>
        <v>0.5</v>
      </c>
      <c r="AA149" s="129" t="str">
        <f>IFERROR(IF(AB149="","",IF(AB149&lt;=0.2,"Leve",IF(AB149&lt;=0.4,"Menor",IF(AB149&lt;=0.6,"Moderado",IF(AB149&lt;=0.8,"Mayor","Catastrófico"))))),"")</f>
        <v>Menor</v>
      </c>
      <c r="AB149" s="130">
        <f>IFERROR(IF(Q149="Impacto",(M149-(+M149*T149)),IF(Q149="Probabilidad",M149,"")),"")</f>
        <v>0.4</v>
      </c>
      <c r="AC149" s="131" t="str">
        <f>IFERROR(IF(OR(AND(Y149="Muy Baja",AA149="Leve"),AND(Y149="Muy Baja",AA149="Menor"),AND(Y149="Baja",AA149="Leve")),"Bajo",IF(OR(AND(Y149="Muy baja",AA149="Moderado"),AND(Y149="Baja",AA149="Menor"),AND(Y149="Baja",AA149="Moderado"),AND(Y149="Media",AA149="Leve"),AND(Y149="Media",AA149="Menor"),AND(Y149="Media",AA149="Moderado"),AND(Y149="Alta",AA149="Leve"),AND(Y149="Alta",AA149="Menor")),"Moderado",IF(OR(AND(Y149="Muy Baja",AA149="Mayor"),AND(Y149="Baja",AA149="Mayor"),AND(Y149="Media",AA149="Mayor"),AND(Y149="Alta",AA149="Moderado"),AND(Y149="Alta",AA149="Mayor"),AND(Y149="Muy Alta",AA149="Leve"),AND(Y149="Muy Alta",AA149="Menor"),AND(Y149="Muy Alta",AA149="Moderado"),AND(Y149="Muy Alta",AA149="Mayor")),"Alto",IF(OR(AND(Y149="Muy Baja",AA149="Catastrófico"),AND(Y149="Baja",AA149="Catastrófico"),AND(Y149="Media",AA149="Catastrófico"),AND(Y149="Alta",AA149="Catastrófico"),AND(Y149="Muy Alta",AA149="Catastrófico")),"Extremo","")))),"")</f>
        <v>Moderado</v>
      </c>
      <c r="AD149" s="132" t="s">
        <v>134</v>
      </c>
      <c r="AE149" s="133"/>
      <c r="AF149" s="134"/>
      <c r="AG149" s="135"/>
      <c r="AH149" s="135"/>
      <c r="AI149" s="133"/>
      <c r="AJ149" s="134"/>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row>
    <row r="150" spans="1:68" ht="151.5" customHeight="1" x14ac:dyDescent="0.15">
      <c r="A150" s="196"/>
      <c r="B150" s="199"/>
      <c r="C150" s="199"/>
      <c r="D150" s="199"/>
      <c r="E150" s="202"/>
      <c r="F150" s="199"/>
      <c r="G150" s="205"/>
      <c r="H150" s="190"/>
      <c r="I150" s="187"/>
      <c r="J150" s="184"/>
      <c r="K150" s="187">
        <f>IF(NOT(ISERROR(MATCH(J150,_xlfn.ANCHORARRAY(E344),0))),I346&amp;"Por favor no seleccionar los criterios de impacto",J150)</f>
        <v>0</v>
      </c>
      <c r="L150" s="190"/>
      <c r="M150" s="187"/>
      <c r="N150" s="193"/>
      <c r="O150" s="123">
        <v>2</v>
      </c>
      <c r="P150" s="124" t="s">
        <v>290</v>
      </c>
      <c r="Q150" s="125" t="str">
        <f>IF(OR(R150="Preventivo",R150="Detectivo"),"Probabilidad",IF(R150="Correctivo","Impacto",""))</f>
        <v>Probabilidad</v>
      </c>
      <c r="R150" s="126" t="s">
        <v>13</v>
      </c>
      <c r="S150" s="126" t="s">
        <v>9</v>
      </c>
      <c r="T150" s="127" t="str">
        <f>IF(AND(R150="Preventivo",S150="Automático"),"50%",IF(AND(R150="Preventivo",S150="Manual"),"40%",IF(AND(R150="Detectivo",S150="Automático"),"40%",IF(AND(R150="Detectivo",S150="Manual"),"30%",IF(AND(R150="Correctivo",S150="Automático"),"35%",IF(AND(R150="Correctivo",S150="Manual"),"25%",""))))))</f>
        <v>40%</v>
      </c>
      <c r="U150" s="126" t="s">
        <v>17</v>
      </c>
      <c r="V150" s="126" t="s">
        <v>20</v>
      </c>
      <c r="W150" s="126" t="s">
        <v>117</v>
      </c>
      <c r="X150" s="128">
        <f>IFERROR(IF(AND(Q149="Probabilidad",Q150="Probabilidad"),(Z149-(+Z149*T150)),IF(Q150="Probabilidad",(I149-(+I149*T150)),IF(Q150="Impacto",Z149,""))),"")</f>
        <v>0.3</v>
      </c>
      <c r="Y150" s="129" t="str">
        <f>IFERROR(IF(X150="","",IF(X150&lt;=0.2,"Muy Baja",IF(X150&lt;=0.4,"Baja",IF(X150&lt;=0.6,"Media",IF(X150&lt;=0.8,"Alta","Muy Alta"))))),"")</f>
        <v>Baja</v>
      </c>
      <c r="Z150" s="130">
        <f>+X150</f>
        <v>0.3</v>
      </c>
      <c r="AA150" s="129" t="str">
        <f t="shared" ref="AA150" si="192">IFERROR(IF(AB150="","",IF(AB150&lt;=0.2,"Leve",IF(AB150&lt;=0.4,"Menor",IF(AB150&lt;=0.6,"Moderado",IF(AB150&lt;=0.8,"Mayor","Catastrófico"))))),"")</f>
        <v>Menor</v>
      </c>
      <c r="AB150" s="130">
        <f>IFERROR(IF(AND(Q149="Impacto",Q150="Impacto"),(AB149-(+AB149*T150)),IF(Q150="Impacto",(M149-(+M149*T150)),IF(Q150="Probabilidad",AB149,""))),"")</f>
        <v>0.4</v>
      </c>
      <c r="AC150" s="131" t="str">
        <f t="shared" ref="AC150" si="193">IFERROR(IF(OR(AND(Y150="Muy Baja",AA150="Leve"),AND(Y150="Muy Baja",AA150="Menor"),AND(Y150="Baja",AA150="Leve")),"Bajo",IF(OR(AND(Y150="Muy baja",AA150="Moderado"),AND(Y150="Baja",AA150="Menor"),AND(Y150="Baja",AA150="Moderado"),AND(Y150="Media",AA150="Leve"),AND(Y150="Media",AA150="Menor"),AND(Y150="Media",AA150="Moderado"),AND(Y150="Alta",AA150="Leve"),AND(Y150="Alta",AA150="Menor")),"Moderado",IF(OR(AND(Y150="Muy Baja",AA150="Mayor"),AND(Y150="Baja",AA150="Mayor"),AND(Y150="Media",AA150="Mayor"),AND(Y150="Alta",AA150="Moderado"),AND(Y150="Alta",AA150="Mayor"),AND(Y150="Muy Alta",AA150="Leve"),AND(Y150="Muy Alta",AA150="Menor"),AND(Y150="Muy Alta",AA150="Moderado"),AND(Y150="Muy Alta",AA150="Mayor")),"Alto",IF(OR(AND(Y150="Muy Baja",AA150="Catastrófico"),AND(Y150="Baja",AA150="Catastrófico"),AND(Y150="Media",AA150="Catastrófico"),AND(Y150="Alta",AA150="Catastrófico"),AND(Y150="Muy Alta",AA150="Catastrófico")),"Extremo","")))),"")</f>
        <v>Moderado</v>
      </c>
      <c r="AD150" s="132" t="s">
        <v>134</v>
      </c>
      <c r="AE150" s="133"/>
      <c r="AF150" s="134"/>
      <c r="AG150" s="135"/>
      <c r="AH150" s="135"/>
      <c r="AI150" s="133"/>
      <c r="AJ150" s="134"/>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row>
    <row r="151" spans="1:68" ht="151.5" customHeight="1" x14ac:dyDescent="0.15">
      <c r="A151" s="196"/>
      <c r="B151" s="199"/>
      <c r="C151" s="199"/>
      <c r="D151" s="199"/>
      <c r="E151" s="202"/>
      <c r="F151" s="199"/>
      <c r="G151" s="205"/>
      <c r="H151" s="190"/>
      <c r="I151" s="187"/>
      <c r="J151" s="184"/>
      <c r="K151" s="187">
        <f>IF(NOT(ISERROR(MATCH(J151,_xlfn.ANCHORARRAY(E345),0))),I347&amp;"Por favor no seleccionar los criterios de impacto",J151)</f>
        <v>0</v>
      </c>
      <c r="L151" s="190"/>
      <c r="M151" s="187"/>
      <c r="N151" s="193"/>
      <c r="O151" s="123"/>
      <c r="P151" s="124"/>
      <c r="Q151" s="125"/>
      <c r="R151" s="126"/>
      <c r="S151" s="126"/>
      <c r="T151" s="127"/>
      <c r="U151" s="126"/>
      <c r="V151" s="126"/>
      <c r="W151" s="126"/>
      <c r="X151" s="128"/>
      <c r="Y151" s="129"/>
      <c r="Z151" s="130"/>
      <c r="AA151" s="129"/>
      <c r="AB151" s="130"/>
      <c r="AC151" s="131"/>
      <c r="AD151" s="132"/>
      <c r="AE151" s="133"/>
      <c r="AF151" s="134"/>
      <c r="AG151" s="135"/>
      <c r="AH151" s="135"/>
      <c r="AI151" s="133"/>
      <c r="AJ151" s="134"/>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row>
    <row r="152" spans="1:68" ht="151.5" customHeight="1" x14ac:dyDescent="0.15">
      <c r="A152" s="196"/>
      <c r="B152" s="199"/>
      <c r="C152" s="199"/>
      <c r="D152" s="199"/>
      <c r="E152" s="202"/>
      <c r="F152" s="199"/>
      <c r="G152" s="205"/>
      <c r="H152" s="190"/>
      <c r="I152" s="187"/>
      <c r="J152" s="184"/>
      <c r="K152" s="187">
        <f>IF(NOT(ISERROR(MATCH(J152,_xlfn.ANCHORARRAY(E346),0))),I348&amp;"Por favor no seleccionar los criterios de impacto",J152)</f>
        <v>0</v>
      </c>
      <c r="L152" s="190"/>
      <c r="M152" s="187"/>
      <c r="N152" s="193"/>
      <c r="O152" s="123"/>
      <c r="P152" s="124"/>
      <c r="Q152" s="125"/>
      <c r="R152" s="126"/>
      <c r="S152" s="126"/>
      <c r="T152" s="127"/>
      <c r="U152" s="126"/>
      <c r="V152" s="126"/>
      <c r="W152" s="126"/>
      <c r="X152" s="128"/>
      <c r="Y152" s="129"/>
      <c r="Z152" s="130"/>
      <c r="AA152" s="129"/>
      <c r="AB152" s="130"/>
      <c r="AC152" s="131"/>
      <c r="AD152" s="132"/>
      <c r="AE152" s="133"/>
      <c r="AF152" s="134"/>
      <c r="AG152" s="135"/>
      <c r="AH152" s="135"/>
      <c r="AI152" s="133"/>
      <c r="AJ152" s="134"/>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row>
    <row r="153" spans="1:68" ht="151.5" customHeight="1" x14ac:dyDescent="0.15">
      <c r="A153" s="196"/>
      <c r="B153" s="199"/>
      <c r="C153" s="199"/>
      <c r="D153" s="199"/>
      <c r="E153" s="202"/>
      <c r="F153" s="199"/>
      <c r="G153" s="205"/>
      <c r="H153" s="190"/>
      <c r="I153" s="187"/>
      <c r="J153" s="184"/>
      <c r="K153" s="187">
        <f>IF(NOT(ISERROR(MATCH(J153,_xlfn.ANCHORARRAY(E347),0))),I349&amp;"Por favor no seleccionar los criterios de impacto",J153)</f>
        <v>0</v>
      </c>
      <c r="L153" s="190"/>
      <c r="M153" s="187"/>
      <c r="N153" s="193"/>
      <c r="O153" s="123"/>
      <c r="P153" s="124"/>
      <c r="Q153" s="125"/>
      <c r="R153" s="126"/>
      <c r="S153" s="126"/>
      <c r="T153" s="127"/>
      <c r="U153" s="126"/>
      <c r="V153" s="126"/>
      <c r="W153" s="126"/>
      <c r="X153" s="128"/>
      <c r="Y153" s="129"/>
      <c r="Z153" s="130"/>
      <c r="AA153" s="129"/>
      <c r="AB153" s="130"/>
      <c r="AC153" s="131"/>
      <c r="AD153" s="132"/>
      <c r="AE153" s="133"/>
      <c r="AF153" s="134"/>
      <c r="AG153" s="135"/>
      <c r="AH153" s="135"/>
      <c r="AI153" s="133"/>
      <c r="AJ153" s="134"/>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row>
    <row r="154" spans="1:68" ht="151.5" customHeight="1" x14ac:dyDescent="0.15">
      <c r="A154" s="197"/>
      <c r="B154" s="200"/>
      <c r="C154" s="200"/>
      <c r="D154" s="200"/>
      <c r="E154" s="203"/>
      <c r="F154" s="200"/>
      <c r="G154" s="206"/>
      <c r="H154" s="191"/>
      <c r="I154" s="188"/>
      <c r="J154" s="185"/>
      <c r="K154" s="188">
        <f>IF(NOT(ISERROR(MATCH(J154,_xlfn.ANCHORARRAY(E348),0))),I350&amp;"Por favor no seleccionar los criterios de impacto",J154)</f>
        <v>0</v>
      </c>
      <c r="L154" s="191"/>
      <c r="M154" s="188"/>
      <c r="N154" s="194"/>
      <c r="O154" s="123"/>
      <c r="P154" s="124"/>
      <c r="Q154" s="125"/>
      <c r="R154" s="126"/>
      <c r="S154" s="126"/>
      <c r="T154" s="127"/>
      <c r="U154" s="126"/>
      <c r="V154" s="126"/>
      <c r="W154" s="126"/>
      <c r="X154" s="128"/>
      <c r="Y154" s="129"/>
      <c r="Z154" s="130"/>
      <c r="AA154" s="129"/>
      <c r="AB154" s="130"/>
      <c r="AC154" s="131"/>
      <c r="AD154" s="132"/>
      <c r="AE154" s="133"/>
      <c r="AF154" s="134"/>
      <c r="AG154" s="135"/>
      <c r="AH154" s="135"/>
      <c r="AI154" s="133"/>
      <c r="AJ154" s="134"/>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row>
    <row r="155" spans="1:68" ht="151.5" customHeight="1" x14ac:dyDescent="0.15">
      <c r="A155" s="195">
        <f>+A149+1</f>
        <v>25</v>
      </c>
      <c r="B155" s="198" t="s">
        <v>131</v>
      </c>
      <c r="C155" s="198"/>
      <c r="D155" s="198"/>
      <c r="E155" s="201"/>
      <c r="F155" s="198"/>
      <c r="G155" s="204">
        <v>6000</v>
      </c>
      <c r="H155" s="189" t="str">
        <f>IF(G155&lt;=0,"",IF(G155&lt;=2,"Muy Baja",IF(G155&lt;=24,"Baja",IF(G155&lt;=500,"Media",IF(G155&lt;=5000,"Alta","Muy Alta")))))</f>
        <v>Muy Alta</v>
      </c>
      <c r="I155" s="186">
        <f>IF(H155="","",IF(H155="Muy Baja",0.2,IF(H155="Baja",0.4,IF(H155="Media",0.6,IF(H155="Alta",0.8,IF(H155="Muy Alta",1,))))))</f>
        <v>1</v>
      </c>
      <c r="J155" s="183" t="s">
        <v>148</v>
      </c>
      <c r="K155" s="186" t="str">
        <f>IF(NOT(ISERROR(MATCH(J155,'Tabla Impacto'!$B$221:$B$223,0))),'Tabla Impacto'!$F$223&amp;"Por favor no seleccionar los criterios de impacto(Afectación Económica o presupuestal y Pérdida Reputacional)",J155)</f>
        <v xml:space="preserve">     Entre 10 y 50 SMLMV </v>
      </c>
      <c r="L155" s="189" t="str">
        <f>IF(OR(K155='Tabla Impacto'!$C$11,K155='Tabla Impacto'!$D$11),"Leve",IF(OR(K155='Tabla Impacto'!$C$12,K155='Tabla Impacto'!$D$12),"Menor",IF(OR(K155='Tabla Impacto'!$C$13,K155='Tabla Impacto'!$D$13),"Moderado",IF(OR(K155='Tabla Impacto'!$C$14,K155='Tabla Impacto'!$D$14),"Mayor",IF(OR(K155='Tabla Impacto'!$C$15,K155='Tabla Impacto'!$D$15),"Catastrófico","")))))</f>
        <v>Menor</v>
      </c>
      <c r="M155" s="186">
        <f>IF(L155="","",IF(L155="Leve",0.2,IF(L155="Menor",0.4,IF(L155="Moderado",0.6,IF(L155="Mayor",0.8,IF(L155="Catastrófico",1,))))))</f>
        <v>0.4</v>
      </c>
      <c r="N155" s="192" t="str">
        <f>IF(OR(AND(H155="Muy Baja",L155="Leve"),AND(H155="Muy Baja",L155="Menor"),AND(H155="Baja",L155="Leve")),"Bajo",IF(OR(AND(H155="Muy baja",L155="Moderado"),AND(H155="Baja",L155="Menor"),AND(H155="Baja",L155="Moderado"),AND(H155="Media",L155="Leve"),AND(H155="Media",L155="Menor"),AND(H155="Media",L155="Moderado"),AND(H155="Alta",L155="Leve"),AND(H155="Alta",L155="Menor")),"Moderado",IF(OR(AND(H155="Muy Baja",L155="Mayor"),AND(H155="Baja",L155="Mayor"),AND(H155="Media",L155="Mayor"),AND(H155="Alta",L155="Moderado"),AND(H155="Alta",L155="Mayor"),AND(H155="Muy Alta",L155="Leve"),AND(H155="Muy Alta",L155="Menor"),AND(H155="Muy Alta",L155="Moderado"),AND(H155="Muy Alta",L155="Mayor")),"Alto",IF(OR(AND(H155="Muy Baja",L155="Catastrófico"),AND(H155="Baja",L155="Catastrófico"),AND(H155="Media",L155="Catastrófico"),AND(H155="Alta",L155="Catastrófico"),AND(H155="Muy Alta",L155="Catastrófico")),"Extremo",""))))</f>
        <v>Alto</v>
      </c>
      <c r="O155" s="123">
        <v>1</v>
      </c>
      <c r="P155" s="124" t="s">
        <v>217</v>
      </c>
      <c r="Q155" s="125" t="str">
        <f>IF(OR(R155="Preventivo",R155="Detectivo"),"Probabilidad",IF(R155="Correctivo","Impacto",""))</f>
        <v>Probabilidad</v>
      </c>
      <c r="R155" s="126" t="s">
        <v>12</v>
      </c>
      <c r="S155" s="126" t="s">
        <v>9</v>
      </c>
      <c r="T155" s="127" t="str">
        <f>IF(AND(R155="Preventivo",S155="Automático"),"50%",IF(AND(R155="Preventivo",S155="Manual"),"40%",IF(AND(R155="Detectivo",S155="Automático"),"40%",IF(AND(R155="Detectivo",S155="Manual"),"30%",IF(AND(R155="Correctivo",S155="Automático"),"35%",IF(AND(R155="Correctivo",S155="Manual"),"25%",""))))))</f>
        <v>50%</v>
      </c>
      <c r="U155" s="126" t="s">
        <v>17</v>
      </c>
      <c r="V155" s="126" t="s">
        <v>20</v>
      </c>
      <c r="W155" s="126" t="s">
        <v>117</v>
      </c>
      <c r="X155" s="128">
        <f>IFERROR(IF(Q155="Probabilidad",(I155-(+I155*T155)),IF(Q155="Impacto",I155,"")),"")</f>
        <v>0.5</v>
      </c>
      <c r="Y155" s="129" t="str">
        <f>IFERROR(IF(X155="","",IF(X155&lt;=0.2,"Muy Baja",IF(X155&lt;=0.4,"Baja",IF(X155&lt;=0.6,"Media",IF(X155&lt;=0.8,"Alta","Muy Alta"))))),"")</f>
        <v>Media</v>
      </c>
      <c r="Z155" s="130">
        <f>+X155</f>
        <v>0.5</v>
      </c>
      <c r="AA155" s="129" t="str">
        <f>IFERROR(IF(AB155="","",IF(AB155&lt;=0.2,"Leve",IF(AB155&lt;=0.4,"Menor",IF(AB155&lt;=0.6,"Moderado",IF(AB155&lt;=0.8,"Mayor","Catastrófico"))))),"")</f>
        <v>Menor</v>
      </c>
      <c r="AB155" s="130">
        <f>IFERROR(IF(Q155="Impacto",(M155-(+M155*T155)),IF(Q155="Probabilidad",M155,"")),"")</f>
        <v>0.4</v>
      </c>
      <c r="AC155" s="131" t="str">
        <f>IFERROR(IF(OR(AND(Y155="Muy Baja",AA155="Leve"),AND(Y155="Muy Baja",AA155="Menor"),AND(Y155="Baja",AA155="Leve")),"Bajo",IF(OR(AND(Y155="Muy baja",AA155="Moderado"),AND(Y155="Baja",AA155="Menor"),AND(Y155="Baja",AA155="Moderado"),AND(Y155="Media",AA155="Leve"),AND(Y155="Media",AA155="Menor"),AND(Y155="Media",AA155="Moderado"),AND(Y155="Alta",AA155="Leve"),AND(Y155="Alta",AA155="Menor")),"Moderado",IF(OR(AND(Y155="Muy Baja",AA155="Mayor"),AND(Y155="Baja",AA155="Mayor"),AND(Y155="Media",AA155="Mayor"),AND(Y155="Alta",AA155="Moderado"),AND(Y155="Alta",AA155="Mayor"),AND(Y155="Muy Alta",AA155="Leve"),AND(Y155="Muy Alta",AA155="Menor"),AND(Y155="Muy Alta",AA155="Moderado"),AND(Y155="Muy Alta",AA155="Mayor")),"Alto",IF(OR(AND(Y155="Muy Baja",AA155="Catastrófico"),AND(Y155="Baja",AA155="Catastrófico"),AND(Y155="Media",AA155="Catastrófico"),AND(Y155="Alta",AA155="Catastrófico"),AND(Y155="Muy Alta",AA155="Catastrófico")),"Extremo","")))),"")</f>
        <v>Moderado</v>
      </c>
      <c r="AD155" s="132" t="s">
        <v>134</v>
      </c>
      <c r="AE155" s="133"/>
      <c r="AF155" s="134"/>
      <c r="AG155" s="135"/>
      <c r="AH155" s="135"/>
      <c r="AI155" s="133"/>
      <c r="AJ155" s="134"/>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row>
    <row r="156" spans="1:68" ht="151.5" customHeight="1" x14ac:dyDescent="0.15">
      <c r="A156" s="196"/>
      <c r="B156" s="199"/>
      <c r="C156" s="199"/>
      <c r="D156" s="199"/>
      <c r="E156" s="202"/>
      <c r="F156" s="199"/>
      <c r="G156" s="205"/>
      <c r="H156" s="190"/>
      <c r="I156" s="187"/>
      <c r="J156" s="184"/>
      <c r="K156" s="187">
        <f>IF(NOT(ISERROR(MATCH(J156,_xlfn.ANCHORARRAY(E350),0))),I352&amp;"Por favor no seleccionar los criterios de impacto",J156)</f>
        <v>0</v>
      </c>
      <c r="L156" s="190"/>
      <c r="M156" s="187"/>
      <c r="N156" s="193"/>
      <c r="O156" s="123">
        <v>2</v>
      </c>
      <c r="P156" s="124" t="s">
        <v>218</v>
      </c>
      <c r="Q156" s="125" t="str">
        <f>IF(OR(R156="Preventivo",R156="Detectivo"),"Probabilidad",IF(R156="Correctivo","Impacto",""))</f>
        <v>Probabilidad</v>
      </c>
      <c r="R156" s="126" t="s">
        <v>12</v>
      </c>
      <c r="S156" s="126" t="s">
        <v>8</v>
      </c>
      <c r="T156" s="127">
        <v>0.6</v>
      </c>
      <c r="U156" s="126" t="s">
        <v>17</v>
      </c>
      <c r="V156" s="126" t="s">
        <v>20</v>
      </c>
      <c r="W156" s="126" t="s">
        <v>117</v>
      </c>
      <c r="X156" s="128">
        <f>IFERROR(IF(AND(Q155="Probabilidad",Q156="Probabilidad"),(Z155-(+Z155*T156)),IF(Q156="Probabilidad",(I155-(+I155*T156)),IF(Q156="Impacto",Z155,""))),"")</f>
        <v>0.2</v>
      </c>
      <c r="Y156" s="129" t="str">
        <f>IFERROR(IF(X156="","",IF(X156&lt;=0.2,"Muy Baja",IF(X156&lt;=0.4,"Baja",IF(X156&lt;=0.6,"Media",IF(X156&lt;=0.8,"Alta","Muy Alta"))))),"")</f>
        <v>Muy Baja</v>
      </c>
      <c r="Z156" s="130">
        <f>+X156</f>
        <v>0.2</v>
      </c>
      <c r="AA156" s="129" t="str">
        <f t="shared" ref="AA156" si="194">IFERROR(IF(AB156="","",IF(AB156&lt;=0.2,"Leve",IF(AB156&lt;=0.4,"Menor",IF(AB156&lt;=0.6,"Moderado",IF(AB156&lt;=0.8,"Mayor","Catastrófico"))))),"")</f>
        <v>Menor</v>
      </c>
      <c r="AB156" s="130">
        <f>IFERROR(IF(AND(Q155="Impacto",Q156="Impacto"),(AB155-(+AB155*T156)),IF(Q156="Impacto",(M155-(+M155*T156)),IF(Q156="Probabilidad",AB155,""))),"")</f>
        <v>0.4</v>
      </c>
      <c r="AC156" s="131" t="str">
        <f t="shared" ref="AC156" si="195">IFERROR(IF(OR(AND(Y156="Muy Baja",AA156="Leve"),AND(Y156="Muy Baja",AA156="Menor"),AND(Y156="Baja",AA156="Leve")),"Bajo",IF(OR(AND(Y156="Muy baja",AA156="Moderado"),AND(Y156="Baja",AA156="Menor"),AND(Y156="Baja",AA156="Moderado"),AND(Y156="Media",AA156="Leve"),AND(Y156="Media",AA156="Menor"),AND(Y156="Media",AA156="Moderado"),AND(Y156="Alta",AA156="Leve"),AND(Y156="Alta",AA156="Menor")),"Moderado",IF(OR(AND(Y156="Muy Baja",AA156="Mayor"),AND(Y156="Baja",AA156="Mayor"),AND(Y156="Media",AA156="Mayor"),AND(Y156="Alta",AA156="Moderado"),AND(Y156="Alta",AA156="Mayor"),AND(Y156="Muy Alta",AA156="Leve"),AND(Y156="Muy Alta",AA156="Menor"),AND(Y156="Muy Alta",AA156="Moderado"),AND(Y156="Muy Alta",AA156="Mayor")),"Alto",IF(OR(AND(Y156="Muy Baja",AA156="Catastrófico"),AND(Y156="Baja",AA156="Catastrófico"),AND(Y156="Media",AA156="Catastrófico"),AND(Y156="Alta",AA156="Catastrófico"),AND(Y156="Muy Alta",AA156="Catastrófico")),"Extremo","")))),"")</f>
        <v>Bajo</v>
      </c>
      <c r="AD156" s="132" t="s">
        <v>134</v>
      </c>
      <c r="AE156" s="133"/>
      <c r="AF156" s="134"/>
      <c r="AG156" s="135"/>
      <c r="AH156" s="135"/>
      <c r="AI156" s="133"/>
      <c r="AJ156" s="134"/>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row>
    <row r="157" spans="1:68" ht="151.5" customHeight="1" x14ac:dyDescent="0.15">
      <c r="A157" s="196"/>
      <c r="B157" s="199"/>
      <c r="C157" s="199"/>
      <c r="D157" s="199"/>
      <c r="E157" s="202"/>
      <c r="F157" s="199"/>
      <c r="G157" s="205"/>
      <c r="H157" s="190"/>
      <c r="I157" s="187"/>
      <c r="J157" s="184"/>
      <c r="K157" s="187">
        <f>IF(NOT(ISERROR(MATCH(J157,_xlfn.ANCHORARRAY(E351),0))),I353&amp;"Por favor no seleccionar los criterios de impacto",J157)</f>
        <v>0</v>
      </c>
      <c r="L157" s="190"/>
      <c r="M157" s="187"/>
      <c r="N157" s="193"/>
      <c r="O157" s="123"/>
      <c r="P157" s="124"/>
      <c r="Q157" s="125"/>
      <c r="R157" s="126"/>
      <c r="S157" s="126"/>
      <c r="T157" s="127"/>
      <c r="U157" s="126"/>
      <c r="V157" s="126"/>
      <c r="W157" s="126"/>
      <c r="X157" s="128"/>
      <c r="Y157" s="129"/>
      <c r="Z157" s="130"/>
      <c r="AA157" s="129"/>
      <c r="AB157" s="130"/>
      <c r="AC157" s="131"/>
      <c r="AD157" s="132"/>
      <c r="AE157" s="133"/>
      <c r="AF157" s="134"/>
      <c r="AG157" s="135"/>
      <c r="AH157" s="135"/>
      <c r="AI157" s="133"/>
      <c r="AJ157" s="134"/>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row>
    <row r="158" spans="1:68" ht="151.5" customHeight="1" x14ac:dyDescent="0.15">
      <c r="A158" s="196"/>
      <c r="B158" s="199"/>
      <c r="C158" s="199"/>
      <c r="D158" s="199"/>
      <c r="E158" s="202"/>
      <c r="F158" s="199"/>
      <c r="G158" s="205"/>
      <c r="H158" s="190"/>
      <c r="I158" s="187"/>
      <c r="J158" s="184"/>
      <c r="K158" s="187">
        <f>IF(NOT(ISERROR(MATCH(J158,_xlfn.ANCHORARRAY(E352),0))),I354&amp;"Por favor no seleccionar los criterios de impacto",J158)</f>
        <v>0</v>
      </c>
      <c r="L158" s="190"/>
      <c r="M158" s="187"/>
      <c r="N158" s="193"/>
      <c r="O158" s="123"/>
      <c r="P158" s="124"/>
      <c r="Q158" s="125"/>
      <c r="R158" s="126"/>
      <c r="S158" s="126"/>
      <c r="T158" s="127"/>
      <c r="U158" s="126"/>
      <c r="V158" s="126"/>
      <c r="W158" s="126"/>
      <c r="X158" s="128"/>
      <c r="Y158" s="129"/>
      <c r="Z158" s="130"/>
      <c r="AA158" s="129"/>
      <c r="AB158" s="130"/>
      <c r="AC158" s="131"/>
      <c r="AD158" s="132"/>
      <c r="AE158" s="133"/>
      <c r="AF158" s="134"/>
      <c r="AG158" s="135"/>
      <c r="AH158" s="135"/>
      <c r="AI158" s="133"/>
      <c r="AJ158" s="134"/>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row>
    <row r="159" spans="1:68" ht="151.5" customHeight="1" x14ac:dyDescent="0.15">
      <c r="A159" s="196"/>
      <c r="B159" s="199"/>
      <c r="C159" s="199"/>
      <c r="D159" s="199"/>
      <c r="E159" s="202"/>
      <c r="F159" s="199"/>
      <c r="G159" s="205"/>
      <c r="H159" s="190"/>
      <c r="I159" s="187"/>
      <c r="J159" s="184"/>
      <c r="K159" s="187">
        <f>IF(NOT(ISERROR(MATCH(J159,_xlfn.ANCHORARRAY(E353),0))),I355&amp;"Por favor no seleccionar los criterios de impacto",J159)</f>
        <v>0</v>
      </c>
      <c r="L159" s="190"/>
      <c r="M159" s="187"/>
      <c r="N159" s="193"/>
      <c r="O159" s="123"/>
      <c r="P159" s="124"/>
      <c r="Q159" s="125"/>
      <c r="R159" s="126"/>
      <c r="S159" s="126"/>
      <c r="T159" s="127"/>
      <c r="U159" s="126"/>
      <c r="V159" s="126"/>
      <c r="W159" s="126"/>
      <c r="X159" s="128"/>
      <c r="Y159" s="129"/>
      <c r="Z159" s="130"/>
      <c r="AA159" s="129"/>
      <c r="AB159" s="130"/>
      <c r="AC159" s="131"/>
      <c r="AD159" s="132"/>
      <c r="AE159" s="133"/>
      <c r="AF159" s="134"/>
      <c r="AG159" s="135"/>
      <c r="AH159" s="135"/>
      <c r="AI159" s="133"/>
      <c r="AJ159" s="134"/>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row>
    <row r="160" spans="1:68" ht="151.5" customHeight="1" x14ac:dyDescent="0.15">
      <c r="A160" s="197"/>
      <c r="B160" s="200"/>
      <c r="C160" s="200"/>
      <c r="D160" s="200"/>
      <c r="E160" s="203"/>
      <c r="F160" s="200"/>
      <c r="G160" s="206"/>
      <c r="H160" s="191"/>
      <c r="I160" s="188"/>
      <c r="J160" s="185"/>
      <c r="K160" s="188">
        <f>IF(NOT(ISERROR(MATCH(J160,_xlfn.ANCHORARRAY(E354),0))),I356&amp;"Por favor no seleccionar los criterios de impacto",J160)</f>
        <v>0</v>
      </c>
      <c r="L160" s="191"/>
      <c r="M160" s="188"/>
      <c r="N160" s="194"/>
      <c r="O160" s="123"/>
      <c r="P160" s="124"/>
      <c r="Q160" s="125"/>
      <c r="R160" s="126"/>
      <c r="S160" s="126"/>
      <c r="T160" s="127"/>
      <c r="U160" s="126"/>
      <c r="V160" s="126"/>
      <c r="W160" s="126"/>
      <c r="X160" s="128"/>
      <c r="Y160" s="129"/>
      <c r="Z160" s="130"/>
      <c r="AA160" s="129"/>
      <c r="AB160" s="130"/>
      <c r="AC160" s="131"/>
      <c r="AD160" s="132"/>
      <c r="AE160" s="133"/>
      <c r="AF160" s="134"/>
      <c r="AG160" s="135"/>
      <c r="AH160" s="135"/>
      <c r="AI160" s="133"/>
      <c r="AJ160" s="134"/>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row>
    <row r="161" spans="1:68" ht="151.5" customHeight="1" x14ac:dyDescent="0.15">
      <c r="A161" s="195">
        <f>+A155+1</f>
        <v>26</v>
      </c>
      <c r="B161" s="198" t="s">
        <v>131</v>
      </c>
      <c r="C161" s="198" t="s">
        <v>298</v>
      </c>
      <c r="D161" s="198"/>
      <c r="E161" s="207" t="s">
        <v>297</v>
      </c>
      <c r="F161" s="198" t="s">
        <v>121</v>
      </c>
      <c r="G161" s="204">
        <v>2</v>
      </c>
      <c r="H161" s="189" t="str">
        <f>IF(G161&lt;=0,"",IF(G161&lt;=2,"Muy Baja",IF(G161&lt;=24,"Baja",IF(G161&lt;=500,"Media",IF(G161&lt;=5000,"Alta","Muy Alta")))))</f>
        <v>Muy Baja</v>
      </c>
      <c r="I161" s="186">
        <f>IF(H161="","",IF(H161="Muy Baja",0.2,IF(H161="Baja",0.4,IF(H161="Media",0.6,IF(H161="Alta",0.8,IF(H161="Muy Alta",1,))))))</f>
        <v>0.2</v>
      </c>
      <c r="J161" s="183" t="s">
        <v>150</v>
      </c>
      <c r="K161" s="186" t="str">
        <f>IF(NOT(ISERROR(MATCH(J161,'Tabla Impacto'!$B$221:$B$223,0))),'Tabla Impacto'!$F$223&amp;"Por favor no seleccionar los criterios de impacto(Afectación Económica o presupuestal y Pérdida Reputacional)",J161)</f>
        <v xml:space="preserve">     Mayor a 500 SMLMV </v>
      </c>
      <c r="L161" s="189" t="str">
        <f>IF(OR(K161='Tabla Impacto'!$C$11,K161='Tabla Impacto'!$D$11),"Leve",IF(OR(K161='Tabla Impacto'!$C$12,K161='Tabla Impacto'!$D$12),"Menor",IF(OR(K161='Tabla Impacto'!$C$13,K161='Tabla Impacto'!$D$13),"Moderado",IF(OR(K161='Tabla Impacto'!$C$14,K161='Tabla Impacto'!$D$14),"Mayor",IF(OR(K161='Tabla Impacto'!$C$15,K161='Tabla Impacto'!$D$15),"Catastrófico","")))))</f>
        <v>Catastrófico</v>
      </c>
      <c r="M161" s="186">
        <f>IF(L161="","",IF(L161="Leve",0.2,IF(L161="Menor",0.4,IF(L161="Moderado",0.6,IF(L161="Mayor",0.8,IF(L161="Catastrófico",1,))))))</f>
        <v>1</v>
      </c>
      <c r="N161" s="192" t="str">
        <f>IF(OR(AND(H161="Muy Baja",L161="Leve"),AND(H161="Muy Baja",L161="Menor"),AND(H161="Baja",L161="Leve")),"Bajo",IF(OR(AND(H161="Muy baja",L161="Moderado"),AND(H161="Baja",L161="Menor"),AND(H161="Baja",L161="Moderado"),AND(H161="Media",L161="Leve"),AND(H161="Media",L161="Menor"),AND(H161="Media",L161="Moderado"),AND(H161="Alta",L161="Leve"),AND(H161="Alta",L161="Menor")),"Moderado",IF(OR(AND(H161="Muy Baja",L161="Mayor"),AND(H161="Baja",L161="Mayor"),AND(H161="Media",L161="Mayor"),AND(H161="Alta",L161="Moderado"),AND(H161="Alta",L161="Mayor"),AND(H161="Muy Alta",L161="Leve"),AND(H161="Muy Alta",L161="Menor"),AND(H161="Muy Alta",L161="Moderado"),AND(H161="Muy Alta",L161="Mayor")),"Alto",IF(OR(AND(H161="Muy Baja",L161="Catastrófico"),AND(H161="Baja",L161="Catastrófico"),AND(H161="Media",L161="Catastrófico"),AND(H161="Alta",L161="Catastrófico"),AND(H161="Muy Alta",L161="Catastrófico")),"Extremo",""))))</f>
        <v>Extremo</v>
      </c>
      <c r="O161" s="123">
        <v>1</v>
      </c>
      <c r="P161" s="124" t="s">
        <v>279</v>
      </c>
      <c r="Q161" s="125" t="str">
        <f>IF(OR(R161="Preventivo",R161="Detectivo"),"Probabilidad",IF(R161="Correctivo","Impacto",""))</f>
        <v>Impacto</v>
      </c>
      <c r="R161" s="126" t="s">
        <v>14</v>
      </c>
      <c r="S161" s="126" t="s">
        <v>9</v>
      </c>
      <c r="T161" s="127" t="str">
        <f>IF(AND(R161="Preventivo",S161="Automático"),"50%",IF(AND(R161="Preventivo",S161="Manual"),"40%",IF(AND(R161="Detectivo",S161="Automático"),"40%",IF(AND(R161="Detectivo",S161="Manual"),"30%",IF(AND(R161="Correctivo",S161="Automático"),"35%",IF(AND(R161="Correctivo",S161="Manual"),"25%",""))))))</f>
        <v>35%</v>
      </c>
      <c r="U161" s="126" t="s">
        <v>17</v>
      </c>
      <c r="V161" s="126" t="s">
        <v>20</v>
      </c>
      <c r="W161" s="126" t="s">
        <v>117</v>
      </c>
      <c r="X161" s="128">
        <f>IFERROR(IF(Q161="Probabilidad",(I161-(+I161*T161)),IF(Q161="Impacto",I161,"")),"")</f>
        <v>0.2</v>
      </c>
      <c r="Y161" s="129" t="str">
        <f>IFERROR(IF(X161="","",IF(X161&lt;=0.2,"Muy Baja",IF(X161&lt;=0.4,"Baja",IF(X161&lt;=0.6,"Media",IF(X161&lt;=0.8,"Alta","Muy Alta"))))),"")</f>
        <v>Muy Baja</v>
      </c>
      <c r="Z161" s="130">
        <f>+X161</f>
        <v>0.2</v>
      </c>
      <c r="AA161" s="129" t="str">
        <f>IFERROR(IF(AB161="","",IF(AB161&lt;=0.2,"Leve",IF(AB161&lt;=0.4,"Menor",IF(AB161&lt;=0.6,"Moderado",IF(AB161&lt;=0.8,"Mayor","Catastrófico"))))),"")</f>
        <v>Mayor</v>
      </c>
      <c r="AB161" s="130">
        <f>IFERROR(IF(Q161="Impacto",(M161-(+M161*T161)),IF(Q161="Probabilidad",M161,"")),"")</f>
        <v>0.65</v>
      </c>
      <c r="AC161" s="131" t="str">
        <f>IFERROR(IF(OR(AND(Y161="Muy Baja",AA161="Leve"),AND(Y161="Muy Baja",AA161="Menor"),AND(Y161="Baja",AA161="Leve")),"Bajo",IF(OR(AND(Y161="Muy baja",AA161="Moderado"),AND(Y161="Baja",AA161="Menor"),AND(Y161="Baja",AA161="Moderado"),AND(Y161="Media",AA161="Leve"),AND(Y161="Media",AA161="Menor"),AND(Y161="Media",AA161="Moderado"),AND(Y161="Alta",AA161="Leve"),AND(Y161="Alta",AA161="Menor")),"Moderado",IF(OR(AND(Y161="Muy Baja",AA161="Mayor"),AND(Y161="Baja",AA161="Mayor"),AND(Y161="Media",AA161="Mayor"),AND(Y161="Alta",AA161="Moderado"),AND(Y161="Alta",AA161="Mayor"),AND(Y161="Muy Alta",AA161="Leve"),AND(Y161="Muy Alta",AA161="Menor"),AND(Y161="Muy Alta",AA161="Moderado"),AND(Y161="Muy Alta",AA161="Mayor")),"Alto",IF(OR(AND(Y161="Muy Baja",AA161="Catastrófico"),AND(Y161="Baja",AA161="Catastrófico"),AND(Y161="Media",AA161="Catastrófico"),AND(Y161="Alta",AA161="Catastrófico"),AND(Y161="Muy Alta",AA161="Catastrófico")),"Extremo","")))),"")</f>
        <v>Alto</v>
      </c>
      <c r="AD161" s="132" t="s">
        <v>134</v>
      </c>
      <c r="AE161" s="133"/>
      <c r="AF161" s="134"/>
      <c r="AG161" s="135"/>
      <c r="AH161" s="135"/>
      <c r="AI161" s="133"/>
      <c r="AJ161" s="134"/>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row>
    <row r="162" spans="1:68" ht="151.5" customHeight="1" x14ac:dyDescent="0.15">
      <c r="A162" s="196"/>
      <c r="B162" s="199"/>
      <c r="C162" s="199"/>
      <c r="D162" s="199"/>
      <c r="E162" s="202"/>
      <c r="F162" s="199"/>
      <c r="G162" s="205"/>
      <c r="H162" s="190"/>
      <c r="I162" s="187"/>
      <c r="J162" s="184"/>
      <c r="K162" s="187">
        <f>IF(NOT(ISERROR(MATCH(J162,_xlfn.ANCHORARRAY(E356),0))),I358&amp;"Por favor no seleccionar los criterios de impacto",J162)</f>
        <v>0</v>
      </c>
      <c r="L162" s="190"/>
      <c r="M162" s="187"/>
      <c r="N162" s="193"/>
      <c r="O162" s="123">
        <v>2</v>
      </c>
      <c r="P162" s="124"/>
      <c r="Q162" s="125" t="str">
        <f>IF(OR(R162="Preventivo",R162="Detectivo"),"Probabilidad",IF(R162="Correctivo","Impacto",""))</f>
        <v/>
      </c>
      <c r="R162" s="126"/>
      <c r="S162" s="126"/>
      <c r="T162" s="127" t="str">
        <f t="shared" ref="T162" si="196">IF(AND(R162="Preventivo",S162="Automático"),"50%",IF(AND(R162="Preventivo",S162="Manual"),"40%",IF(AND(R162="Detectivo",S162="Automático"),"40%",IF(AND(R162="Detectivo",S162="Manual"),"30%",IF(AND(R162="Correctivo",S162="Automático"),"35%",IF(AND(R162="Correctivo",S162="Manual"),"25%",""))))))</f>
        <v/>
      </c>
      <c r="U162" s="126"/>
      <c r="V162" s="126"/>
      <c r="W162" s="126"/>
      <c r="X162" s="128" t="str">
        <f>IFERROR(IF(AND(Q161="Probabilidad",Q162="Probabilidad"),(Z161-(+Z161*T162)),IF(Q162="Probabilidad",(I161-(+I161*T162)),IF(Q162="Impacto",Z161,""))),"")</f>
        <v/>
      </c>
      <c r="Y162" s="129" t="str">
        <f>IFERROR(IF(X162="","",IF(X162&lt;=0.2,"Muy Baja",IF(X162&lt;=0.4,"Baja",IF(X162&lt;=0.6,"Media",IF(X162&lt;=0.8,"Alta","Muy Alta"))))),"")</f>
        <v/>
      </c>
      <c r="Z162" s="130" t="str">
        <f>+X162</f>
        <v/>
      </c>
      <c r="AA162" s="129" t="str">
        <f t="shared" ref="AA162" si="197">IFERROR(IF(AB162="","",IF(AB162&lt;=0.2,"Leve",IF(AB162&lt;=0.4,"Menor",IF(AB162&lt;=0.6,"Moderado",IF(AB162&lt;=0.8,"Mayor","Catastrófico"))))),"")</f>
        <v/>
      </c>
      <c r="AB162" s="130" t="str">
        <f>IFERROR(IF(AND(Q161="Impacto",Q162="Impacto"),(AB161-(+AB161*T162)),IF(Q162="Impacto",(M161-(+M161*T162)),IF(Q162="Probabilidad",AB161,""))),"")</f>
        <v/>
      </c>
      <c r="AC162" s="131" t="str">
        <f t="shared" ref="AC162" si="198">IFERROR(IF(OR(AND(Y162="Muy Baja",AA162="Leve"),AND(Y162="Muy Baja",AA162="Menor"),AND(Y162="Baja",AA162="Leve")),"Bajo",IF(OR(AND(Y162="Muy baja",AA162="Moderado"),AND(Y162="Baja",AA162="Menor"),AND(Y162="Baja",AA162="Moderado"),AND(Y162="Media",AA162="Leve"),AND(Y162="Media",AA162="Menor"),AND(Y162="Media",AA162="Moderado"),AND(Y162="Alta",AA162="Leve"),AND(Y162="Alta",AA162="Menor")),"Moderado",IF(OR(AND(Y162="Muy Baja",AA162="Mayor"),AND(Y162="Baja",AA162="Mayor"),AND(Y162="Media",AA162="Mayor"),AND(Y162="Alta",AA162="Moderado"),AND(Y162="Alta",AA162="Mayor"),AND(Y162="Muy Alta",AA162="Leve"),AND(Y162="Muy Alta",AA162="Menor"),AND(Y162="Muy Alta",AA162="Moderado"),AND(Y162="Muy Alta",AA162="Mayor")),"Alto",IF(OR(AND(Y162="Muy Baja",AA162="Catastrófico"),AND(Y162="Baja",AA162="Catastrófico"),AND(Y162="Media",AA162="Catastrófico"),AND(Y162="Alta",AA162="Catastrófico"),AND(Y162="Muy Alta",AA162="Catastrófico")),"Extremo","")))),"")</f>
        <v/>
      </c>
      <c r="AD162" s="132"/>
      <c r="AE162" s="133"/>
      <c r="AF162" s="134"/>
      <c r="AG162" s="135"/>
      <c r="AH162" s="135"/>
      <c r="AI162" s="133"/>
      <c r="AJ162" s="134"/>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row>
    <row r="163" spans="1:68" ht="151.5" customHeight="1" x14ac:dyDescent="0.15">
      <c r="A163" s="196"/>
      <c r="B163" s="199"/>
      <c r="C163" s="199"/>
      <c r="D163" s="199"/>
      <c r="E163" s="202"/>
      <c r="F163" s="199"/>
      <c r="G163" s="205"/>
      <c r="H163" s="190"/>
      <c r="I163" s="187"/>
      <c r="J163" s="184"/>
      <c r="K163" s="187">
        <f>IF(NOT(ISERROR(MATCH(J163,_xlfn.ANCHORARRAY(E357),0))),I359&amp;"Por favor no seleccionar los criterios de impacto",J163)</f>
        <v>0</v>
      </c>
      <c r="L163" s="190"/>
      <c r="M163" s="187"/>
      <c r="N163" s="193"/>
      <c r="O163" s="123">
        <v>3</v>
      </c>
      <c r="P163" s="124"/>
      <c r="Q163" s="125" t="str">
        <f>IF(OR(R163="Preventivo",R163="Detectivo"),"Probabilidad",IF(R163="Correctivo","Impacto",""))</f>
        <v/>
      </c>
      <c r="R163" s="126"/>
      <c r="S163" s="126"/>
      <c r="T163" s="127" t="str">
        <f t="shared" ref="T163" si="199">IF(AND(R163="Preventivo",S163="Automático"),"50%",IF(AND(R163="Preventivo",S163="Manual"),"40%",IF(AND(R163="Detectivo",S163="Automático"),"40%",IF(AND(R163="Detectivo",S163="Manual"),"30%",IF(AND(R163="Correctivo",S163="Automático"),"35%",IF(AND(R163="Correctivo",S163="Manual"),"25%",""))))))</f>
        <v/>
      </c>
      <c r="U163" s="126"/>
      <c r="V163" s="126"/>
      <c r="W163" s="126"/>
      <c r="X163" s="128" t="str">
        <f>IFERROR(IF(AND(Q162="Probabilidad",Q163="Probabilidad"),(Z162-(+Z162*T163)),IF(AND(Q162="Impacto",Q163="Probabilidad"),(Z161-(+Z161*T163)),IF(Q163="Impacto",Z162,""))),"")</f>
        <v/>
      </c>
      <c r="Y163" s="129" t="str">
        <f>IFERROR(IF(X163="","",IF(X163&lt;=0.2,"Muy Baja",IF(X163&lt;=0.4,"Baja",IF(X163&lt;=0.6,"Media",IF(X163&lt;=0.8,"Alta","Muy Alta"))))),"")</f>
        <v/>
      </c>
      <c r="Z163" s="130" t="str">
        <f>+X163</f>
        <v/>
      </c>
      <c r="AA163" s="129" t="str">
        <f t="shared" ref="AA163" si="200">IFERROR(IF(AB163="","",IF(AB163&lt;=0.2,"Leve",IF(AB163&lt;=0.4,"Menor",IF(AB163&lt;=0.6,"Moderado",IF(AB163&lt;=0.8,"Mayor","Catastrófico"))))),"")</f>
        <v/>
      </c>
      <c r="AB163" s="130" t="str">
        <f>IFERROR(IF(AND(Q162="Impacto",Q163="Impacto"),(AB162-(+AB162*T163)),IF(Q163="Impacto",(M162-(+M162*T163)),IF(Q163="Probabilidad",AB162,""))),"")</f>
        <v/>
      </c>
      <c r="AC163" s="131" t="str">
        <f t="shared" ref="AC163" si="201">IFERROR(IF(OR(AND(Y163="Muy Baja",AA163="Leve"),AND(Y163="Muy Baja",AA163="Menor"),AND(Y163="Baja",AA163="Leve")),"Bajo",IF(OR(AND(Y163="Muy baja",AA163="Moderado"),AND(Y163="Baja",AA163="Menor"),AND(Y163="Baja",AA163="Moderado"),AND(Y163="Media",AA163="Leve"),AND(Y163="Media",AA163="Menor"),AND(Y163="Media",AA163="Moderado"),AND(Y163="Alta",AA163="Leve"),AND(Y163="Alta",AA163="Menor")),"Moderado",IF(OR(AND(Y163="Muy Baja",AA163="Mayor"),AND(Y163="Baja",AA163="Mayor"),AND(Y163="Media",AA163="Mayor"),AND(Y163="Alta",AA163="Moderado"),AND(Y163="Alta",AA163="Mayor"),AND(Y163="Muy Alta",AA163="Leve"),AND(Y163="Muy Alta",AA163="Menor"),AND(Y163="Muy Alta",AA163="Moderado"),AND(Y163="Muy Alta",AA163="Mayor")),"Alto",IF(OR(AND(Y163="Muy Baja",AA163="Catastrófico"),AND(Y163="Baja",AA163="Catastrófico"),AND(Y163="Media",AA163="Catastrófico"),AND(Y163="Alta",AA163="Catastrófico"),AND(Y163="Muy Alta",AA163="Catastrófico")),"Extremo","")))),"")</f>
        <v/>
      </c>
      <c r="AD163" s="132"/>
      <c r="AE163" s="133"/>
      <c r="AF163" s="134"/>
      <c r="AG163" s="135"/>
      <c r="AH163" s="135"/>
      <c r="AI163" s="133"/>
      <c r="AJ163" s="134"/>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row>
    <row r="164" spans="1:68" ht="151.5" customHeight="1" x14ac:dyDescent="0.15">
      <c r="A164" s="196"/>
      <c r="B164" s="199"/>
      <c r="C164" s="199"/>
      <c r="D164" s="199"/>
      <c r="E164" s="202"/>
      <c r="F164" s="199"/>
      <c r="G164" s="205"/>
      <c r="H164" s="190"/>
      <c r="I164" s="187"/>
      <c r="J164" s="184"/>
      <c r="K164" s="187">
        <f>IF(NOT(ISERROR(MATCH(J164,_xlfn.ANCHORARRAY(E358),0))),I360&amp;"Por favor no seleccionar los criterios de impacto",J164)</f>
        <v>0</v>
      </c>
      <c r="L164" s="190"/>
      <c r="M164" s="187"/>
      <c r="N164" s="193"/>
      <c r="O164" s="123"/>
      <c r="P164" s="124"/>
      <c r="Q164" s="125"/>
      <c r="R164" s="126"/>
      <c r="S164" s="126"/>
      <c r="T164" s="127"/>
      <c r="U164" s="126"/>
      <c r="V164" s="126"/>
      <c r="W164" s="126"/>
      <c r="X164" s="128"/>
      <c r="Y164" s="129"/>
      <c r="Z164" s="130"/>
      <c r="AA164" s="129"/>
      <c r="AB164" s="130"/>
      <c r="AC164" s="131"/>
      <c r="AD164" s="132"/>
      <c r="AE164" s="133"/>
      <c r="AF164" s="134"/>
      <c r="AG164" s="135"/>
      <c r="AH164" s="135"/>
      <c r="AI164" s="133"/>
      <c r="AJ164" s="134"/>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row>
    <row r="165" spans="1:68" ht="151.5" customHeight="1" x14ac:dyDescent="0.15">
      <c r="A165" s="196"/>
      <c r="B165" s="199"/>
      <c r="C165" s="199"/>
      <c r="D165" s="199"/>
      <c r="E165" s="202"/>
      <c r="F165" s="199"/>
      <c r="G165" s="205"/>
      <c r="H165" s="190"/>
      <c r="I165" s="187"/>
      <c r="J165" s="184"/>
      <c r="K165" s="187">
        <f>IF(NOT(ISERROR(MATCH(J165,_xlfn.ANCHORARRAY(E359),0))),I361&amp;"Por favor no seleccionar los criterios de impacto",J165)</f>
        <v>0</v>
      </c>
      <c r="L165" s="190"/>
      <c r="M165" s="187"/>
      <c r="N165" s="193"/>
      <c r="O165" s="123"/>
      <c r="P165" s="124"/>
      <c r="Q165" s="125"/>
      <c r="R165" s="126"/>
      <c r="S165" s="126"/>
      <c r="T165" s="127"/>
      <c r="U165" s="126"/>
      <c r="V165" s="126"/>
      <c r="W165" s="126"/>
      <c r="X165" s="128"/>
      <c r="Y165" s="129"/>
      <c r="Z165" s="130"/>
      <c r="AA165" s="129"/>
      <c r="AB165" s="130"/>
      <c r="AC165" s="131"/>
      <c r="AD165" s="132"/>
      <c r="AE165" s="133"/>
      <c r="AF165" s="134"/>
      <c r="AG165" s="135"/>
      <c r="AH165" s="135"/>
      <c r="AI165" s="133"/>
      <c r="AJ165" s="134"/>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row>
    <row r="166" spans="1:68" ht="151.5" customHeight="1" x14ac:dyDescent="0.15">
      <c r="A166" s="197"/>
      <c r="B166" s="200"/>
      <c r="C166" s="200"/>
      <c r="D166" s="200"/>
      <c r="E166" s="203"/>
      <c r="F166" s="200"/>
      <c r="G166" s="206"/>
      <c r="H166" s="191"/>
      <c r="I166" s="188"/>
      <c r="J166" s="185"/>
      <c r="K166" s="188">
        <f>IF(NOT(ISERROR(MATCH(J166,_xlfn.ANCHORARRAY(E360),0))),I362&amp;"Por favor no seleccionar los criterios de impacto",J166)</f>
        <v>0</v>
      </c>
      <c r="L166" s="191"/>
      <c r="M166" s="188"/>
      <c r="N166" s="194"/>
      <c r="O166" s="123"/>
      <c r="P166" s="124"/>
      <c r="Q166" s="125"/>
      <c r="R166" s="126"/>
      <c r="S166" s="126"/>
      <c r="T166" s="127"/>
      <c r="U166" s="126"/>
      <c r="V166" s="126"/>
      <c r="W166" s="126"/>
      <c r="X166" s="128"/>
      <c r="Y166" s="129"/>
      <c r="Z166" s="130"/>
      <c r="AA166" s="129"/>
      <c r="AB166" s="130"/>
      <c r="AC166" s="131"/>
      <c r="AD166" s="132"/>
      <c r="AE166" s="133"/>
      <c r="AF166" s="134"/>
      <c r="AG166" s="135"/>
      <c r="AH166" s="135"/>
      <c r="AI166" s="133"/>
      <c r="AJ166" s="134"/>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row>
    <row r="167" spans="1:68" ht="151.5" customHeight="1" x14ac:dyDescent="0.15">
      <c r="A167" s="195">
        <f>+A161+1</f>
        <v>27</v>
      </c>
      <c r="B167" s="198" t="s">
        <v>131</v>
      </c>
      <c r="C167" s="198" t="s">
        <v>300</v>
      </c>
      <c r="D167" s="198"/>
      <c r="E167" s="201" t="s">
        <v>299</v>
      </c>
      <c r="F167" s="198" t="s">
        <v>121</v>
      </c>
      <c r="G167" s="204">
        <v>2</v>
      </c>
      <c r="H167" s="189" t="str">
        <f>IF(G167&lt;=0,"",IF(G167&lt;=2,"Muy Baja",IF(G167&lt;=24,"Baja",IF(G167&lt;=500,"Media",IF(G167&lt;=5000,"Alta","Muy Alta")))))</f>
        <v>Muy Baja</v>
      </c>
      <c r="I167" s="186">
        <f>IF(H167="","",IF(H167="Muy Baja",0.2,IF(H167="Baja",0.4,IF(H167="Media",0.6,IF(H167="Alta",0.8,IF(H167="Muy Alta",1,))))))</f>
        <v>0.2</v>
      </c>
      <c r="J167" s="183" t="s">
        <v>150</v>
      </c>
      <c r="K167" s="186" t="str">
        <f>IF(NOT(ISERROR(MATCH(J167,'Tabla Impacto'!$B$221:$B$223,0))),'Tabla Impacto'!$F$223&amp;"Por favor no seleccionar los criterios de impacto(Afectación Económica o presupuestal y Pérdida Reputacional)",J167)</f>
        <v xml:space="preserve">     Mayor a 500 SMLMV </v>
      </c>
      <c r="L167" s="189" t="str">
        <f>IF(OR(K167='Tabla Impacto'!$C$11,K167='Tabla Impacto'!$D$11),"Leve",IF(OR(K167='Tabla Impacto'!$C$12,K167='Tabla Impacto'!$D$12),"Menor",IF(OR(K167='Tabla Impacto'!$C$13,K167='Tabla Impacto'!$D$13),"Moderado",IF(OR(K167='Tabla Impacto'!$C$14,K167='Tabla Impacto'!$D$14),"Mayor",IF(OR(K167='Tabla Impacto'!$C$15,K167='Tabla Impacto'!$D$15),"Catastrófico","")))))</f>
        <v>Catastrófico</v>
      </c>
      <c r="M167" s="186">
        <f>IF(L167="","",IF(L167="Leve",0.2,IF(L167="Menor",0.4,IF(L167="Moderado",0.6,IF(L167="Mayor",0.8,IF(L167="Catastrófico",1,))))))</f>
        <v>1</v>
      </c>
      <c r="N167" s="192" t="str">
        <f>IF(OR(AND(H167="Muy Baja",L167="Leve"),AND(H167="Muy Baja",L167="Menor"),AND(H167="Baja",L167="Leve")),"Bajo",IF(OR(AND(H167="Muy baja",L167="Moderado"),AND(H167="Baja",L167="Menor"),AND(H167="Baja",L167="Moderado"),AND(H167="Media",L167="Leve"),AND(H167="Media",L167="Menor"),AND(H167="Media",L167="Moderado"),AND(H167="Alta",L167="Leve"),AND(H167="Alta",L167="Menor")),"Moderado",IF(OR(AND(H167="Muy Baja",L167="Mayor"),AND(H167="Baja",L167="Mayor"),AND(H167="Media",L167="Mayor"),AND(H167="Alta",L167="Moderado"),AND(H167="Alta",L167="Mayor"),AND(H167="Muy Alta",L167="Leve"),AND(H167="Muy Alta",L167="Menor"),AND(H167="Muy Alta",L167="Moderado"),AND(H167="Muy Alta",L167="Mayor")),"Alto",IF(OR(AND(H167="Muy Baja",L167="Catastrófico"),AND(H167="Baja",L167="Catastrófico"),AND(H167="Media",L167="Catastrófico"),AND(H167="Alta",L167="Catastrófico"),AND(H167="Muy Alta",L167="Catastrófico")),"Extremo",""))))</f>
        <v>Extremo</v>
      </c>
      <c r="O167" s="123">
        <v>1</v>
      </c>
      <c r="P167" s="124" t="s">
        <v>301</v>
      </c>
      <c r="Q167" s="125" t="str">
        <f>IF(OR(R167="Preventivo",R167="Detectivo"),"Probabilidad",IF(R167="Correctivo","Impacto",""))</f>
        <v>Impacto</v>
      </c>
      <c r="R167" s="126" t="s">
        <v>14</v>
      </c>
      <c r="S167" s="126" t="s">
        <v>9</v>
      </c>
      <c r="T167" s="127" t="str">
        <f>IF(AND(R167="Preventivo",S167="Automático"),"50%",IF(AND(R167="Preventivo",S167="Manual"),"40%",IF(AND(R167="Detectivo",S167="Automático"),"40%",IF(AND(R167="Detectivo",S167="Manual"),"30%",IF(AND(R167="Correctivo",S167="Automático"),"35%",IF(AND(R167="Correctivo",S167="Manual"),"25%",""))))))</f>
        <v>35%</v>
      </c>
      <c r="U167" s="126" t="s">
        <v>17</v>
      </c>
      <c r="V167" s="126" t="s">
        <v>20</v>
      </c>
      <c r="W167" s="126" t="s">
        <v>117</v>
      </c>
      <c r="X167" s="128">
        <f>IFERROR(IF(Q167="Probabilidad",(I167-(+I167*T167)),IF(Q167="Impacto",I167,"")),"")</f>
        <v>0.2</v>
      </c>
      <c r="Y167" s="129" t="str">
        <f>IFERROR(IF(X167="","",IF(X167&lt;=0.2,"Muy Baja",IF(X167&lt;=0.4,"Baja",IF(X167&lt;=0.6,"Media",IF(X167&lt;=0.8,"Alta","Muy Alta"))))),"")</f>
        <v>Muy Baja</v>
      </c>
      <c r="Z167" s="130">
        <f>+X167</f>
        <v>0.2</v>
      </c>
      <c r="AA167" s="129" t="str">
        <f>IFERROR(IF(AB167="","",IF(AB167&lt;=0.2,"Leve",IF(AB167&lt;=0.4,"Menor",IF(AB167&lt;=0.6,"Moderado",IF(AB167&lt;=0.8,"Mayor","Catastrófico"))))),"")</f>
        <v>Mayor</v>
      </c>
      <c r="AB167" s="130">
        <f>IFERROR(IF(Q167="Impacto",(M167-(+M167*T167)),IF(Q167="Probabilidad",M167,"")),"")</f>
        <v>0.65</v>
      </c>
      <c r="AC167" s="131" t="str">
        <f>IFERROR(IF(OR(AND(Y167="Muy Baja",AA167="Leve"),AND(Y167="Muy Baja",AA167="Menor"),AND(Y167="Baja",AA167="Leve")),"Bajo",IF(OR(AND(Y167="Muy baja",AA167="Moderado"),AND(Y167="Baja",AA167="Menor"),AND(Y167="Baja",AA167="Moderado"),AND(Y167="Media",AA167="Leve"),AND(Y167="Media",AA167="Menor"),AND(Y167="Media",AA167="Moderado"),AND(Y167="Alta",AA167="Leve"),AND(Y167="Alta",AA167="Menor")),"Moderado",IF(OR(AND(Y167="Muy Baja",AA167="Mayor"),AND(Y167="Baja",AA167="Mayor"),AND(Y167="Media",AA167="Mayor"),AND(Y167="Alta",AA167="Moderado"),AND(Y167="Alta",AA167="Mayor"),AND(Y167="Muy Alta",AA167="Leve"),AND(Y167="Muy Alta",AA167="Menor"),AND(Y167="Muy Alta",AA167="Moderado"),AND(Y167="Muy Alta",AA167="Mayor")),"Alto",IF(OR(AND(Y167="Muy Baja",AA167="Catastrófico"),AND(Y167="Baja",AA167="Catastrófico"),AND(Y167="Media",AA167="Catastrófico"),AND(Y167="Alta",AA167="Catastrófico"),AND(Y167="Muy Alta",AA167="Catastrófico")),"Extremo","")))),"")</f>
        <v>Alto</v>
      </c>
      <c r="AD167" s="132" t="s">
        <v>134</v>
      </c>
      <c r="AE167" s="133"/>
      <c r="AF167" s="134"/>
      <c r="AG167" s="135"/>
      <c r="AH167" s="135"/>
      <c r="AI167" s="133"/>
      <c r="AJ167" s="134"/>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row>
    <row r="168" spans="1:68" ht="151.5" customHeight="1" x14ac:dyDescent="0.15">
      <c r="A168" s="196"/>
      <c r="B168" s="199"/>
      <c r="C168" s="199"/>
      <c r="D168" s="199"/>
      <c r="E168" s="202"/>
      <c r="F168" s="199"/>
      <c r="G168" s="205"/>
      <c r="H168" s="190"/>
      <c r="I168" s="187"/>
      <c r="J168" s="184"/>
      <c r="K168" s="187">
        <f>IF(NOT(ISERROR(MATCH(J168,_xlfn.ANCHORARRAY(E362),0))),I364&amp;"Por favor no seleccionar los criterios de impacto",J168)</f>
        <v>0</v>
      </c>
      <c r="L168" s="190"/>
      <c r="M168" s="187"/>
      <c r="N168" s="193"/>
      <c r="O168" s="123"/>
      <c r="P168" s="124"/>
      <c r="Q168" s="125" t="str">
        <f>IF(OR(R168="Preventivo",R168="Detectivo"),"Probabilidad",IF(R168="Correctivo","Impacto",""))</f>
        <v/>
      </c>
      <c r="R168" s="126"/>
      <c r="S168" s="126"/>
      <c r="T168" s="127" t="str">
        <f t="shared" ref="T168:T169" si="202">IF(AND(R168="Preventivo",S168="Automático"),"50%",IF(AND(R168="Preventivo",S168="Manual"),"40%",IF(AND(R168="Detectivo",S168="Automático"),"40%",IF(AND(R168="Detectivo",S168="Manual"),"30%",IF(AND(R168="Correctivo",S168="Automático"),"35%",IF(AND(R168="Correctivo",S168="Manual"),"25%",""))))))</f>
        <v/>
      </c>
      <c r="U168" s="126"/>
      <c r="V168" s="126"/>
      <c r="W168" s="126"/>
      <c r="X168" s="128" t="str">
        <f>IFERROR(IF(AND(Q167="Probabilidad",Q168="Probabilidad"),(Z167-(+Z167*T168)),IF(Q168="Probabilidad",(I167-(+I167*T168)),IF(Q168="Impacto",Z167,""))),"")</f>
        <v/>
      </c>
      <c r="Y168" s="129" t="str">
        <f>IFERROR(IF(X168="","",IF(X168&lt;=0.2,"Muy Baja",IF(X168&lt;=0.4,"Baja",IF(X168&lt;=0.6,"Media",IF(X168&lt;=0.8,"Alta","Muy Alta"))))),"")</f>
        <v/>
      </c>
      <c r="Z168" s="130" t="str">
        <f>+X168</f>
        <v/>
      </c>
      <c r="AA168" s="129" t="str">
        <f t="shared" ref="AA168:AA169" si="203">IFERROR(IF(AB168="","",IF(AB168&lt;=0.2,"Leve",IF(AB168&lt;=0.4,"Menor",IF(AB168&lt;=0.6,"Moderado",IF(AB168&lt;=0.8,"Mayor","Catastrófico"))))),"")</f>
        <v/>
      </c>
      <c r="AB168" s="130" t="str">
        <f>IFERROR(IF(AND(Q167="Impacto",Q168="Impacto"),(AB167-(+AB167*T168)),IF(Q168="Impacto",(M167-(+M167*T168)),IF(Q168="Probabilidad",AB167,""))),"")</f>
        <v/>
      </c>
      <c r="AC168" s="131" t="str">
        <f t="shared" ref="AC168:AC169" si="204">IFERROR(IF(OR(AND(Y168="Muy Baja",AA168="Leve"),AND(Y168="Muy Baja",AA168="Menor"),AND(Y168="Baja",AA168="Leve")),"Bajo",IF(OR(AND(Y168="Muy baja",AA168="Moderado"),AND(Y168="Baja",AA168="Menor"),AND(Y168="Baja",AA168="Moderado"),AND(Y168="Media",AA168="Leve"),AND(Y168="Media",AA168="Menor"),AND(Y168="Media",AA168="Moderado"),AND(Y168="Alta",AA168="Leve"),AND(Y168="Alta",AA168="Menor")),"Moderado",IF(OR(AND(Y168="Muy Baja",AA168="Mayor"),AND(Y168="Baja",AA168="Mayor"),AND(Y168="Media",AA168="Mayor"),AND(Y168="Alta",AA168="Moderado"),AND(Y168="Alta",AA168="Mayor"),AND(Y168="Muy Alta",AA168="Leve"),AND(Y168="Muy Alta",AA168="Menor"),AND(Y168="Muy Alta",AA168="Moderado"),AND(Y168="Muy Alta",AA168="Mayor")),"Alto",IF(OR(AND(Y168="Muy Baja",AA168="Catastrófico"),AND(Y168="Baja",AA168="Catastrófico"),AND(Y168="Media",AA168="Catastrófico"),AND(Y168="Alta",AA168="Catastrófico"),AND(Y168="Muy Alta",AA168="Catastrófico")),"Extremo","")))),"")</f>
        <v/>
      </c>
      <c r="AD168" s="132"/>
      <c r="AE168" s="133"/>
      <c r="AF168" s="134"/>
      <c r="AG168" s="135"/>
      <c r="AH168" s="135"/>
      <c r="AI168" s="133"/>
      <c r="AJ168" s="134"/>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row>
    <row r="169" spans="1:68" ht="151.5" customHeight="1" x14ac:dyDescent="0.15">
      <c r="A169" s="196"/>
      <c r="B169" s="199"/>
      <c r="C169" s="199"/>
      <c r="D169" s="199"/>
      <c r="E169" s="202"/>
      <c r="F169" s="199"/>
      <c r="G169" s="205"/>
      <c r="H169" s="190"/>
      <c r="I169" s="187"/>
      <c r="J169" s="184"/>
      <c r="K169" s="187">
        <f>IF(NOT(ISERROR(MATCH(J169,_xlfn.ANCHORARRAY(E363),0))),I365&amp;"Por favor no seleccionar los criterios de impacto",J169)</f>
        <v>0</v>
      </c>
      <c r="L169" s="190"/>
      <c r="M169" s="187"/>
      <c r="N169" s="193"/>
      <c r="O169" s="123"/>
      <c r="P169" s="124"/>
      <c r="Q169" s="125" t="str">
        <f>IF(OR(R169="Preventivo",R169="Detectivo"),"Probabilidad",IF(R169="Correctivo","Impacto",""))</f>
        <v/>
      </c>
      <c r="R169" s="126"/>
      <c r="S169" s="126"/>
      <c r="T169" s="127" t="str">
        <f t="shared" si="202"/>
        <v/>
      </c>
      <c r="U169" s="126"/>
      <c r="V169" s="126"/>
      <c r="W169" s="126"/>
      <c r="X169" s="128" t="str">
        <f>IFERROR(IF(AND(Q168="Probabilidad",Q169="Probabilidad"),(Z168-(+Z168*T169)),IF(AND(Q168="Impacto",Q169="Probabilidad"),(Z167-(+Z167*T169)),IF(Q169="Impacto",Z168,""))),"")</f>
        <v/>
      </c>
      <c r="Y169" s="129" t="str">
        <f>IFERROR(IF(X169="","",IF(X169&lt;=0.2,"Muy Baja",IF(X169&lt;=0.4,"Baja",IF(X169&lt;=0.6,"Media",IF(X169&lt;=0.8,"Alta","Muy Alta"))))),"")</f>
        <v/>
      </c>
      <c r="Z169" s="130" t="str">
        <f>+X169</f>
        <v/>
      </c>
      <c r="AA169" s="129" t="str">
        <f t="shared" si="203"/>
        <v/>
      </c>
      <c r="AB169" s="130" t="str">
        <f>IFERROR(IF(AND(Q168="Impacto",Q169="Impacto"),(AB168-(+AB168*T169)),IF(Q169="Impacto",(M168-(+M168*T169)),IF(Q169="Probabilidad",AB168,""))),"")</f>
        <v/>
      </c>
      <c r="AC169" s="131" t="str">
        <f t="shared" si="204"/>
        <v/>
      </c>
      <c r="AD169" s="132"/>
      <c r="AE169" s="133"/>
      <c r="AF169" s="134"/>
      <c r="AG169" s="135"/>
      <c r="AH169" s="135"/>
      <c r="AI169" s="133"/>
      <c r="AJ169" s="134"/>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row>
    <row r="170" spans="1:68" ht="151.5" customHeight="1" x14ac:dyDescent="0.15">
      <c r="A170" s="196"/>
      <c r="B170" s="199"/>
      <c r="C170" s="199"/>
      <c r="D170" s="199"/>
      <c r="E170" s="202"/>
      <c r="F170" s="199"/>
      <c r="G170" s="205"/>
      <c r="H170" s="190"/>
      <c r="I170" s="187"/>
      <c r="J170" s="184"/>
      <c r="K170" s="187">
        <f>IF(NOT(ISERROR(MATCH(J170,_xlfn.ANCHORARRAY(E364),0))),I366&amp;"Por favor no seleccionar los criterios de impacto",J170)</f>
        <v>0</v>
      </c>
      <c r="L170" s="190"/>
      <c r="M170" s="187"/>
      <c r="N170" s="193"/>
      <c r="O170" s="123"/>
      <c r="P170" s="124"/>
      <c r="Q170" s="125"/>
      <c r="R170" s="126"/>
      <c r="S170" s="126"/>
      <c r="T170" s="127"/>
      <c r="U170" s="126"/>
      <c r="V170" s="126"/>
      <c r="W170" s="126"/>
      <c r="X170" s="128"/>
      <c r="Y170" s="129"/>
      <c r="Z170" s="130"/>
      <c r="AA170" s="129"/>
      <c r="AB170" s="130"/>
      <c r="AC170" s="131"/>
      <c r="AD170" s="132"/>
      <c r="AE170" s="133"/>
      <c r="AF170" s="134"/>
      <c r="AG170" s="135"/>
      <c r="AH170" s="135"/>
      <c r="AI170" s="133"/>
      <c r="AJ170" s="134"/>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row>
    <row r="171" spans="1:68" ht="151.5" customHeight="1" x14ac:dyDescent="0.15">
      <c r="A171" s="196"/>
      <c r="B171" s="199"/>
      <c r="C171" s="199"/>
      <c r="D171" s="199"/>
      <c r="E171" s="202"/>
      <c r="F171" s="199"/>
      <c r="G171" s="205"/>
      <c r="H171" s="190"/>
      <c r="I171" s="187"/>
      <c r="J171" s="184"/>
      <c r="K171" s="187">
        <f>IF(NOT(ISERROR(MATCH(J171,_xlfn.ANCHORARRAY(E365),0))),I367&amp;"Por favor no seleccionar los criterios de impacto",J171)</f>
        <v>0</v>
      </c>
      <c r="L171" s="190"/>
      <c r="M171" s="187"/>
      <c r="N171" s="193"/>
      <c r="O171" s="123"/>
      <c r="P171" s="124"/>
      <c r="Q171" s="125"/>
      <c r="R171" s="126"/>
      <c r="S171" s="126"/>
      <c r="T171" s="127"/>
      <c r="U171" s="126"/>
      <c r="V171" s="126"/>
      <c r="W171" s="126"/>
      <c r="X171" s="128"/>
      <c r="Y171" s="129"/>
      <c r="Z171" s="130"/>
      <c r="AA171" s="129"/>
      <c r="AB171" s="130"/>
      <c r="AC171" s="131"/>
      <c r="AD171" s="132"/>
      <c r="AE171" s="133"/>
      <c r="AF171" s="134"/>
      <c r="AG171" s="135"/>
      <c r="AH171" s="135"/>
      <c r="AI171" s="133"/>
      <c r="AJ171" s="134"/>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row>
    <row r="172" spans="1:68" ht="151.5" customHeight="1" x14ac:dyDescent="0.15">
      <c r="A172" s="197"/>
      <c r="B172" s="200"/>
      <c r="C172" s="200"/>
      <c r="D172" s="200"/>
      <c r="E172" s="203"/>
      <c r="F172" s="200"/>
      <c r="G172" s="206"/>
      <c r="H172" s="191"/>
      <c r="I172" s="188"/>
      <c r="J172" s="185"/>
      <c r="K172" s="188">
        <f>IF(NOT(ISERROR(MATCH(J172,_xlfn.ANCHORARRAY(E366),0))),I368&amp;"Por favor no seleccionar los criterios de impacto",J172)</f>
        <v>0</v>
      </c>
      <c r="L172" s="191"/>
      <c r="M172" s="188"/>
      <c r="N172" s="194"/>
      <c r="O172" s="123"/>
      <c r="P172" s="124"/>
      <c r="Q172" s="125"/>
      <c r="R172" s="126"/>
      <c r="S172" s="126"/>
      <c r="T172" s="127"/>
      <c r="U172" s="126"/>
      <c r="V172" s="126"/>
      <c r="W172" s="126"/>
      <c r="X172" s="128"/>
      <c r="Y172" s="129"/>
      <c r="Z172" s="130"/>
      <c r="AA172" s="129"/>
      <c r="AB172" s="130"/>
      <c r="AC172" s="131"/>
      <c r="AD172" s="132"/>
      <c r="AE172" s="133"/>
      <c r="AF172" s="134"/>
      <c r="AG172" s="135"/>
      <c r="AH172" s="135"/>
      <c r="AI172" s="133"/>
      <c r="AJ172" s="134"/>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row>
    <row r="173" spans="1:68" ht="151.5" customHeight="1" x14ac:dyDescent="0.15">
      <c r="A173" s="195">
        <f>+A167+1</f>
        <v>28</v>
      </c>
      <c r="B173" s="198" t="s">
        <v>131</v>
      </c>
      <c r="C173" s="198" t="s">
        <v>303</v>
      </c>
      <c r="D173" s="198"/>
      <c r="E173" s="201" t="s">
        <v>302</v>
      </c>
      <c r="F173" s="198" t="s">
        <v>121</v>
      </c>
      <c r="G173" s="204">
        <v>2</v>
      </c>
      <c r="H173" s="189" t="str">
        <f>IF(G173&lt;=0,"",IF(G173&lt;=2,"Muy Baja",IF(G173&lt;=24,"Baja",IF(G173&lt;=500,"Media",IF(G173&lt;=5000,"Alta","Muy Alta")))))</f>
        <v>Muy Baja</v>
      </c>
      <c r="I173" s="186">
        <f>IF(H173="","",IF(H173="Muy Baja",0.2,IF(H173="Baja",0.4,IF(H173="Media",0.6,IF(H173="Alta",0.8,IF(H173="Muy Alta",1,))))))</f>
        <v>0.2</v>
      </c>
      <c r="J173" s="183" t="s">
        <v>150</v>
      </c>
      <c r="K173" s="186" t="str">
        <f>IF(NOT(ISERROR(MATCH(J173,'Tabla Impacto'!$B$221:$B$223,0))),'Tabla Impacto'!$F$223&amp;"Por favor no seleccionar los criterios de impacto(Afectación Económica o presupuestal y Pérdida Reputacional)",J173)</f>
        <v xml:space="preserve">     Mayor a 500 SMLMV </v>
      </c>
      <c r="L173" s="189" t="str">
        <f>IF(OR(K173='Tabla Impacto'!$C$11,K173='Tabla Impacto'!$D$11),"Leve",IF(OR(K173='Tabla Impacto'!$C$12,K173='Tabla Impacto'!$D$12),"Menor",IF(OR(K173='Tabla Impacto'!$C$13,K173='Tabla Impacto'!$D$13),"Moderado",IF(OR(K173='Tabla Impacto'!$C$14,K173='Tabla Impacto'!$D$14),"Mayor",IF(OR(K173='Tabla Impacto'!$C$15,K173='Tabla Impacto'!$D$15),"Catastrófico","")))))</f>
        <v>Catastrófico</v>
      </c>
      <c r="M173" s="186">
        <f>IF(L173="","",IF(L173="Leve",0.2,IF(L173="Menor",0.4,IF(L173="Moderado",0.6,IF(L173="Mayor",0.8,IF(L173="Catastrófico",1,))))))</f>
        <v>1</v>
      </c>
      <c r="N173" s="192" t="str">
        <f>IF(OR(AND(H173="Muy Baja",L173="Leve"),AND(H173="Muy Baja",L173="Menor"),AND(H173="Baja",L173="Leve")),"Bajo",IF(OR(AND(H173="Muy baja",L173="Moderado"),AND(H173="Baja",L173="Menor"),AND(H173="Baja",L173="Moderado"),AND(H173="Media",L173="Leve"),AND(H173="Media",L173="Menor"),AND(H173="Media",L173="Moderado"),AND(H173="Alta",L173="Leve"),AND(H173="Alta",L173="Menor")),"Moderado",IF(OR(AND(H173="Muy Baja",L173="Mayor"),AND(H173="Baja",L173="Mayor"),AND(H173="Media",L173="Mayor"),AND(H173="Alta",L173="Moderado"),AND(H173="Alta",L173="Mayor"),AND(H173="Muy Alta",L173="Leve"),AND(H173="Muy Alta",L173="Menor"),AND(H173="Muy Alta",L173="Moderado"),AND(H173="Muy Alta",L173="Mayor")),"Alto",IF(OR(AND(H173="Muy Baja",L173="Catastrófico"),AND(H173="Baja",L173="Catastrófico"),AND(H173="Media",L173="Catastrófico"),AND(H173="Alta",L173="Catastrófico"),AND(H173="Muy Alta",L173="Catastrófico")),"Extremo",""))))</f>
        <v>Extremo</v>
      </c>
      <c r="O173" s="123">
        <v>1</v>
      </c>
      <c r="P173" s="124" t="s">
        <v>304</v>
      </c>
      <c r="Q173" s="125" t="str">
        <f>IF(OR(R173="Preventivo",R173="Detectivo"),"Probabilidad",IF(R173="Correctivo","Impacto",""))</f>
        <v>Impacto</v>
      </c>
      <c r="R173" s="126" t="s">
        <v>14</v>
      </c>
      <c r="S173" s="126" t="s">
        <v>8</v>
      </c>
      <c r="T173" s="127" t="str">
        <f>IF(AND(R173="Preventivo",S173="Automático"),"50%",IF(AND(R173="Preventivo",S173="Manual"),"40%",IF(AND(R173="Detectivo",S173="Automático"),"40%",IF(AND(R173="Detectivo",S173="Manual"),"30%",IF(AND(R173="Correctivo",S173="Automático"),"35%",IF(AND(R173="Correctivo",S173="Manual"),"25%",""))))))</f>
        <v>25%</v>
      </c>
      <c r="U173" s="126" t="s">
        <v>17</v>
      </c>
      <c r="V173" s="126" t="s">
        <v>20</v>
      </c>
      <c r="W173" s="126" t="s">
        <v>117</v>
      </c>
      <c r="X173" s="128">
        <f>IFERROR(IF(Q173="Probabilidad",(I173-(+I173*T173)),IF(Q173="Impacto",I173,"")),"")</f>
        <v>0.2</v>
      </c>
      <c r="Y173" s="129" t="str">
        <f>IFERROR(IF(X173="","",IF(X173&lt;=0.2,"Muy Baja",IF(X173&lt;=0.4,"Baja",IF(X173&lt;=0.6,"Media",IF(X173&lt;=0.8,"Alta","Muy Alta"))))),"")</f>
        <v>Muy Baja</v>
      </c>
      <c r="Z173" s="130">
        <f>+X173</f>
        <v>0.2</v>
      </c>
      <c r="AA173" s="129" t="str">
        <f>IFERROR(IF(AB173="","",IF(AB173&lt;=0.2,"Leve",IF(AB173&lt;=0.4,"Menor",IF(AB173&lt;=0.6,"Moderado",IF(AB173&lt;=0.8,"Mayor","Catastrófico"))))),"")</f>
        <v>Mayor</v>
      </c>
      <c r="AB173" s="130">
        <f>IFERROR(IF(Q173="Impacto",(M173-(+M173*T173)),IF(Q173="Probabilidad",M173,"")),"")</f>
        <v>0.75</v>
      </c>
      <c r="AC173" s="131" t="str">
        <f>IFERROR(IF(OR(AND(Y173="Muy Baja",AA173="Leve"),AND(Y173="Muy Baja",AA173="Menor"),AND(Y173="Baja",AA173="Leve")),"Bajo",IF(OR(AND(Y173="Muy baja",AA173="Moderado"),AND(Y173="Baja",AA173="Menor"),AND(Y173="Baja",AA173="Moderado"),AND(Y173="Media",AA173="Leve"),AND(Y173="Media",AA173="Menor"),AND(Y173="Media",AA173="Moderado"),AND(Y173="Alta",AA173="Leve"),AND(Y173="Alta",AA173="Menor")),"Moderado",IF(OR(AND(Y173="Muy Baja",AA173="Mayor"),AND(Y173="Baja",AA173="Mayor"),AND(Y173="Media",AA173="Mayor"),AND(Y173="Alta",AA173="Moderado"),AND(Y173="Alta",AA173="Mayor"),AND(Y173="Muy Alta",AA173="Leve"),AND(Y173="Muy Alta",AA173="Menor"),AND(Y173="Muy Alta",AA173="Moderado"),AND(Y173="Muy Alta",AA173="Mayor")),"Alto",IF(OR(AND(Y173="Muy Baja",AA173="Catastrófico"),AND(Y173="Baja",AA173="Catastrófico"),AND(Y173="Media",AA173="Catastrófico"),AND(Y173="Alta",AA173="Catastrófico"),AND(Y173="Muy Alta",AA173="Catastrófico")),"Extremo","")))),"")</f>
        <v>Alto</v>
      </c>
      <c r="AD173" s="132" t="s">
        <v>134</v>
      </c>
      <c r="AE173" s="133"/>
      <c r="AF173" s="134"/>
      <c r="AG173" s="135"/>
      <c r="AH173" s="135"/>
      <c r="AI173" s="133"/>
      <c r="AJ173" s="134"/>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row>
    <row r="174" spans="1:68" ht="151.5" customHeight="1" x14ac:dyDescent="0.15">
      <c r="A174" s="196"/>
      <c r="B174" s="199"/>
      <c r="C174" s="199"/>
      <c r="D174" s="199"/>
      <c r="E174" s="202"/>
      <c r="F174" s="199"/>
      <c r="G174" s="205"/>
      <c r="H174" s="190"/>
      <c r="I174" s="187"/>
      <c r="J174" s="184"/>
      <c r="K174" s="187">
        <f>IF(NOT(ISERROR(MATCH(J174,_xlfn.ANCHORARRAY(E368),0))),I370&amp;"Por favor no seleccionar los criterios de impacto",J174)</f>
        <v>0</v>
      </c>
      <c r="L174" s="190"/>
      <c r="M174" s="187"/>
      <c r="N174" s="193"/>
      <c r="O174" s="123">
        <v>2</v>
      </c>
      <c r="P174" s="124"/>
      <c r="Q174" s="125" t="str">
        <f>IF(OR(R174="Preventivo",R174="Detectivo"),"Probabilidad",IF(R174="Correctivo","Impacto",""))</f>
        <v/>
      </c>
      <c r="R174" s="126"/>
      <c r="S174" s="126"/>
      <c r="T174" s="127" t="str">
        <f t="shared" ref="T174:T175" si="205">IF(AND(R174="Preventivo",S174="Automático"),"50%",IF(AND(R174="Preventivo",S174="Manual"),"40%",IF(AND(R174="Detectivo",S174="Automático"),"40%",IF(AND(R174="Detectivo",S174="Manual"),"30%",IF(AND(R174="Correctivo",S174="Automático"),"35%",IF(AND(R174="Correctivo",S174="Manual"),"25%",""))))))</f>
        <v/>
      </c>
      <c r="U174" s="126"/>
      <c r="V174" s="126"/>
      <c r="W174" s="126"/>
      <c r="X174" s="128" t="str">
        <f>IFERROR(IF(AND(Q173="Probabilidad",Q174="Probabilidad"),(Z173-(+Z173*T174)),IF(Q174="Probabilidad",(I173-(+I173*T174)),IF(Q174="Impacto",Z173,""))),"")</f>
        <v/>
      </c>
      <c r="Y174" s="129" t="str">
        <f>IFERROR(IF(X174="","",IF(X174&lt;=0.2,"Muy Baja",IF(X174&lt;=0.4,"Baja",IF(X174&lt;=0.6,"Media",IF(X174&lt;=0.8,"Alta","Muy Alta"))))),"")</f>
        <v/>
      </c>
      <c r="Z174" s="130" t="str">
        <f>+X174</f>
        <v/>
      </c>
      <c r="AA174" s="129" t="str">
        <f t="shared" ref="AA174:AA175" si="206">IFERROR(IF(AB174="","",IF(AB174&lt;=0.2,"Leve",IF(AB174&lt;=0.4,"Menor",IF(AB174&lt;=0.6,"Moderado",IF(AB174&lt;=0.8,"Mayor","Catastrófico"))))),"")</f>
        <v/>
      </c>
      <c r="AB174" s="130" t="str">
        <f>IFERROR(IF(AND(Q173="Impacto",Q174="Impacto"),(AB173-(+AB173*T174)),IF(Q174="Impacto",(M173-(+M173*T174)),IF(Q174="Probabilidad",AB173,""))),"")</f>
        <v/>
      </c>
      <c r="AC174" s="131" t="str">
        <f t="shared" ref="AC174:AC175" si="207">IFERROR(IF(OR(AND(Y174="Muy Baja",AA174="Leve"),AND(Y174="Muy Baja",AA174="Menor"),AND(Y174="Baja",AA174="Leve")),"Bajo",IF(OR(AND(Y174="Muy baja",AA174="Moderado"),AND(Y174="Baja",AA174="Menor"),AND(Y174="Baja",AA174="Moderado"),AND(Y174="Media",AA174="Leve"),AND(Y174="Media",AA174="Menor"),AND(Y174="Media",AA174="Moderado"),AND(Y174="Alta",AA174="Leve"),AND(Y174="Alta",AA174="Menor")),"Moderado",IF(OR(AND(Y174="Muy Baja",AA174="Mayor"),AND(Y174="Baja",AA174="Mayor"),AND(Y174="Media",AA174="Mayor"),AND(Y174="Alta",AA174="Moderado"),AND(Y174="Alta",AA174="Mayor"),AND(Y174="Muy Alta",AA174="Leve"),AND(Y174="Muy Alta",AA174="Menor"),AND(Y174="Muy Alta",AA174="Moderado"),AND(Y174="Muy Alta",AA174="Mayor")),"Alto",IF(OR(AND(Y174="Muy Baja",AA174="Catastrófico"),AND(Y174="Baja",AA174="Catastrófico"),AND(Y174="Media",AA174="Catastrófico"),AND(Y174="Alta",AA174="Catastrófico"),AND(Y174="Muy Alta",AA174="Catastrófico")),"Extremo","")))),"")</f>
        <v/>
      </c>
      <c r="AD174" s="132" t="s">
        <v>134</v>
      </c>
      <c r="AE174" s="133"/>
      <c r="AF174" s="134"/>
      <c r="AG174" s="135"/>
      <c r="AH174" s="135"/>
      <c r="AI174" s="133"/>
      <c r="AJ174" s="134"/>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row>
    <row r="175" spans="1:68" ht="151.5" customHeight="1" x14ac:dyDescent="0.15">
      <c r="A175" s="196"/>
      <c r="B175" s="199"/>
      <c r="C175" s="199"/>
      <c r="D175" s="199"/>
      <c r="E175" s="202"/>
      <c r="F175" s="199"/>
      <c r="G175" s="205"/>
      <c r="H175" s="190"/>
      <c r="I175" s="187"/>
      <c r="J175" s="184"/>
      <c r="K175" s="187">
        <f>IF(NOT(ISERROR(MATCH(J175,_xlfn.ANCHORARRAY(E369),0))),I371&amp;"Por favor no seleccionar los criterios de impacto",J175)</f>
        <v>0</v>
      </c>
      <c r="L175" s="190"/>
      <c r="M175" s="187"/>
      <c r="N175" s="193"/>
      <c r="O175" s="123">
        <v>3</v>
      </c>
      <c r="P175" s="124"/>
      <c r="Q175" s="125" t="str">
        <f>IF(OR(R175="Preventivo",R175="Detectivo"),"Probabilidad",IF(R175="Correctivo","Impacto",""))</f>
        <v/>
      </c>
      <c r="R175" s="126"/>
      <c r="S175" s="126"/>
      <c r="T175" s="127" t="str">
        <f t="shared" si="205"/>
        <v/>
      </c>
      <c r="U175" s="126"/>
      <c r="V175" s="126"/>
      <c r="W175" s="126"/>
      <c r="X175" s="128" t="str">
        <f>IFERROR(IF(AND(Q174="Probabilidad",Q175="Probabilidad"),(Z174-(+Z174*T175)),IF(AND(Q174="Impacto",Q175="Probabilidad"),(Z173-(+Z173*T175)),IF(Q175="Impacto",Z174,""))),"")</f>
        <v/>
      </c>
      <c r="Y175" s="129" t="str">
        <f>IFERROR(IF(X175="","",IF(X175&lt;=0.2,"Muy Baja",IF(X175&lt;=0.4,"Baja",IF(X175&lt;=0.6,"Media",IF(X175&lt;=0.8,"Alta","Muy Alta"))))),"")</f>
        <v/>
      </c>
      <c r="Z175" s="130" t="str">
        <f>+X175</f>
        <v/>
      </c>
      <c r="AA175" s="129" t="str">
        <f t="shared" si="206"/>
        <v/>
      </c>
      <c r="AB175" s="130" t="str">
        <f>IFERROR(IF(AND(Q174="Impacto",Q175="Impacto"),(AB174-(+AB174*T175)),IF(Q175="Impacto",(M174-(+M174*T175)),IF(Q175="Probabilidad",AB174,""))),"")</f>
        <v/>
      </c>
      <c r="AC175" s="131" t="str">
        <f t="shared" si="207"/>
        <v/>
      </c>
      <c r="AD175" s="132" t="s">
        <v>134</v>
      </c>
      <c r="AE175" s="133"/>
      <c r="AF175" s="134"/>
      <c r="AG175" s="135"/>
      <c r="AH175" s="135"/>
      <c r="AI175" s="133"/>
      <c r="AJ175" s="134"/>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row>
    <row r="176" spans="1:68" ht="151.5" customHeight="1" x14ac:dyDescent="0.15">
      <c r="A176" s="196"/>
      <c r="B176" s="199"/>
      <c r="C176" s="199"/>
      <c r="D176" s="199"/>
      <c r="E176" s="202"/>
      <c r="F176" s="199"/>
      <c r="G176" s="205"/>
      <c r="H176" s="190"/>
      <c r="I176" s="187"/>
      <c r="J176" s="184"/>
      <c r="K176" s="187">
        <f>IF(NOT(ISERROR(MATCH(J176,_xlfn.ANCHORARRAY(E370),0))),I372&amp;"Por favor no seleccionar los criterios de impacto",J176)</f>
        <v>0</v>
      </c>
      <c r="L176" s="190"/>
      <c r="M176" s="187"/>
      <c r="N176" s="193"/>
      <c r="O176" s="123"/>
      <c r="P176" s="124"/>
      <c r="Q176" s="125"/>
      <c r="R176" s="126"/>
      <c r="S176" s="126"/>
      <c r="T176" s="127"/>
      <c r="U176" s="126"/>
      <c r="V176" s="126"/>
      <c r="W176" s="126"/>
      <c r="X176" s="128"/>
      <c r="Y176" s="129"/>
      <c r="Z176" s="130"/>
      <c r="AA176" s="129"/>
      <c r="AB176" s="130"/>
      <c r="AC176" s="131"/>
      <c r="AD176" s="132"/>
      <c r="AE176" s="133"/>
      <c r="AF176" s="134"/>
      <c r="AG176" s="135"/>
      <c r="AH176" s="135"/>
      <c r="AI176" s="133"/>
      <c r="AJ176" s="134"/>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row>
    <row r="177" spans="1:68" ht="151.5" customHeight="1" x14ac:dyDescent="0.15">
      <c r="A177" s="196"/>
      <c r="B177" s="199"/>
      <c r="C177" s="199"/>
      <c r="D177" s="199"/>
      <c r="E177" s="202"/>
      <c r="F177" s="199"/>
      <c r="G177" s="205"/>
      <c r="H177" s="190"/>
      <c r="I177" s="187"/>
      <c r="J177" s="184"/>
      <c r="K177" s="187">
        <f>IF(NOT(ISERROR(MATCH(J177,_xlfn.ANCHORARRAY(E371),0))),I373&amp;"Por favor no seleccionar los criterios de impacto",J177)</f>
        <v>0</v>
      </c>
      <c r="L177" s="190"/>
      <c r="M177" s="187"/>
      <c r="N177" s="193"/>
      <c r="O177" s="123"/>
      <c r="P177" s="124"/>
      <c r="Q177" s="125"/>
      <c r="R177" s="126"/>
      <c r="S177" s="126"/>
      <c r="T177" s="127"/>
      <c r="U177" s="126"/>
      <c r="V177" s="126"/>
      <c r="W177" s="126"/>
      <c r="X177" s="128"/>
      <c r="Y177" s="129"/>
      <c r="Z177" s="130"/>
      <c r="AA177" s="129"/>
      <c r="AB177" s="130"/>
      <c r="AC177" s="131"/>
      <c r="AD177" s="132"/>
      <c r="AE177" s="133"/>
      <c r="AF177" s="134"/>
      <c r="AG177" s="135"/>
      <c r="AH177" s="135"/>
      <c r="AI177" s="133"/>
      <c r="AJ177" s="134"/>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row>
    <row r="178" spans="1:68" ht="151.5" customHeight="1" x14ac:dyDescent="0.15">
      <c r="A178" s="197"/>
      <c r="B178" s="200"/>
      <c r="C178" s="200"/>
      <c r="D178" s="200"/>
      <c r="E178" s="203"/>
      <c r="F178" s="200"/>
      <c r="G178" s="206"/>
      <c r="H178" s="191"/>
      <c r="I178" s="188"/>
      <c r="J178" s="185"/>
      <c r="K178" s="188">
        <f>IF(NOT(ISERROR(MATCH(J178,_xlfn.ANCHORARRAY(E372),0))),I374&amp;"Por favor no seleccionar los criterios de impacto",J178)</f>
        <v>0</v>
      </c>
      <c r="L178" s="191"/>
      <c r="M178" s="188"/>
      <c r="N178" s="194"/>
      <c r="O178" s="123"/>
      <c r="P178" s="124"/>
      <c r="Q178" s="125"/>
      <c r="R178" s="126"/>
      <c r="S178" s="126"/>
      <c r="T178" s="127"/>
      <c r="U178" s="126"/>
      <c r="V178" s="126"/>
      <c r="W178" s="126"/>
      <c r="X178" s="128"/>
      <c r="Y178" s="129"/>
      <c r="Z178" s="130"/>
      <c r="AA178" s="129"/>
      <c r="AB178" s="130"/>
      <c r="AC178" s="131"/>
      <c r="AD178" s="132"/>
      <c r="AE178" s="133"/>
      <c r="AF178" s="134"/>
      <c r="AG178" s="135"/>
      <c r="AH178" s="135"/>
      <c r="AI178" s="133"/>
      <c r="AJ178" s="134"/>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row>
    <row r="179" spans="1:68" ht="151.5" customHeight="1" x14ac:dyDescent="0.15">
      <c r="A179" s="195">
        <f>+A173+1</f>
        <v>29</v>
      </c>
      <c r="B179" s="198" t="s">
        <v>131</v>
      </c>
      <c r="C179" s="198" t="s">
        <v>306</v>
      </c>
      <c r="D179" s="198"/>
      <c r="E179" s="201" t="s">
        <v>305</v>
      </c>
      <c r="F179" s="198" t="s">
        <v>121</v>
      </c>
      <c r="G179" s="204">
        <v>1000</v>
      </c>
      <c r="H179" s="189" t="str">
        <f>IF(G179&lt;=0,"",IF(G179&lt;=2,"Muy Baja",IF(G179&lt;=24,"Baja",IF(G179&lt;=500,"Media",IF(G179&lt;=5000,"Alta","Muy Alta")))))</f>
        <v>Alta</v>
      </c>
      <c r="I179" s="186">
        <f>IF(H179="","",IF(H179="Muy Baja",0.2,IF(H179="Baja",0.4,IF(H179="Media",0.6,IF(H179="Alta",0.8,IF(H179="Muy Alta",1,))))))</f>
        <v>0.8</v>
      </c>
      <c r="J179" s="183" t="s">
        <v>147</v>
      </c>
      <c r="K179" s="186" t="str">
        <f>IF(NOT(ISERROR(MATCH(J179,'Tabla Impacto'!$B$221:$B$223,0))),'Tabla Impacto'!$F$223&amp;"Por favor no seleccionar los criterios de impacto(Afectación Económica o presupuestal y Pérdida Reputacional)",J179)</f>
        <v xml:space="preserve">     Entre 50 y 100 SMLMV </v>
      </c>
      <c r="L179" s="189" t="str">
        <f>IF(OR(K179='Tabla Impacto'!$C$11,K179='Tabla Impacto'!$D$11),"Leve",IF(OR(K179='Tabla Impacto'!$C$12,K179='Tabla Impacto'!$D$12),"Menor",IF(OR(K179='Tabla Impacto'!$C$13,K179='Tabla Impacto'!$D$13),"Moderado",IF(OR(K179='Tabla Impacto'!$C$14,K179='Tabla Impacto'!$D$14),"Mayor",IF(OR(K179='Tabla Impacto'!$C$15,K179='Tabla Impacto'!$D$15),"Catastrófico","")))))</f>
        <v>Moderado</v>
      </c>
      <c r="M179" s="186">
        <f>IF(L179="","",IF(L179="Leve",0.2,IF(L179="Menor",0.4,IF(L179="Moderado",0.6,IF(L179="Mayor",0.8,IF(L179="Catastrófico",1,))))))</f>
        <v>0.6</v>
      </c>
      <c r="N179" s="192" t="str">
        <f>IF(OR(AND(H179="Muy Baja",L179="Leve"),AND(H179="Muy Baja",L179="Menor"),AND(H179="Baja",L179="Leve")),"Bajo",IF(OR(AND(H179="Muy baja",L179="Moderado"),AND(H179="Baja",L179="Menor"),AND(H179="Baja",L179="Moderado"),AND(H179="Media",L179="Leve"),AND(H179="Media",L179="Menor"),AND(H179="Media",L179="Moderado"),AND(H179="Alta",L179="Leve"),AND(H179="Alta",L179="Menor")),"Moderado",IF(OR(AND(H179="Muy Baja",L179="Mayor"),AND(H179="Baja",L179="Mayor"),AND(H179="Media",L179="Mayor"),AND(H179="Alta",L179="Moderado"),AND(H179="Alta",L179="Mayor"),AND(H179="Muy Alta",L179="Leve"),AND(H179="Muy Alta",L179="Menor"),AND(H179="Muy Alta",L179="Moderado"),AND(H179="Muy Alta",L179="Mayor")),"Alto",IF(OR(AND(H179="Muy Baja",L179="Catastrófico"),AND(H179="Baja",L179="Catastrófico"),AND(H179="Media",L179="Catastrófico"),AND(H179="Alta",L179="Catastrófico"),AND(H179="Muy Alta",L179="Catastrófico")),"Extremo",""))))</f>
        <v>Alto</v>
      </c>
      <c r="O179" s="123">
        <v>1</v>
      </c>
      <c r="P179" s="124" t="s">
        <v>307</v>
      </c>
      <c r="Q179" s="125" t="str">
        <f>IF(OR(R179="Preventivo",R179="Detectivo"),"Probabilidad",IF(R179="Correctivo","Impacto",""))</f>
        <v>Impacto</v>
      </c>
      <c r="R179" s="126" t="s">
        <v>14</v>
      </c>
      <c r="S179" s="126" t="s">
        <v>8</v>
      </c>
      <c r="T179" s="127" t="str">
        <f>IF(AND(R179="Preventivo",S179="Automático"),"50%",IF(AND(R179="Preventivo",S179="Manual"),"40%",IF(AND(R179="Detectivo",S179="Automático"),"40%",IF(AND(R179="Detectivo",S179="Manual"),"30%",IF(AND(R179="Correctivo",S179="Automático"),"35%",IF(AND(R179="Correctivo",S179="Manual"),"25%",""))))))</f>
        <v>25%</v>
      </c>
      <c r="U179" s="126" t="s">
        <v>17</v>
      </c>
      <c r="V179" s="126" t="s">
        <v>20</v>
      </c>
      <c r="W179" s="126" t="s">
        <v>117</v>
      </c>
      <c r="X179" s="128">
        <f>IFERROR(IF(Q179="Probabilidad",(I179-(+I179*T179)),IF(Q179="Impacto",I179,"")),"")</f>
        <v>0.8</v>
      </c>
      <c r="Y179" s="129" t="str">
        <f>IFERROR(IF(X179="","",IF(X179&lt;=0.2,"Muy Baja",IF(X179&lt;=0.4,"Baja",IF(X179&lt;=0.6,"Media",IF(X179&lt;=0.8,"Alta","Muy Alta"))))),"")</f>
        <v>Alta</v>
      </c>
      <c r="Z179" s="130">
        <f>+X179</f>
        <v>0.8</v>
      </c>
      <c r="AA179" s="129" t="str">
        <f>IFERROR(IF(AB179="","",IF(AB179&lt;=0.2,"Leve",IF(AB179&lt;=0.4,"Menor",IF(AB179&lt;=0.6,"Moderado",IF(AB179&lt;=0.8,"Mayor","Catastrófico"))))),"")</f>
        <v>Moderado</v>
      </c>
      <c r="AB179" s="130">
        <f>IFERROR(IF(Q179="Impacto",(M179-(+M179*T179)),IF(Q179="Probabilidad",M179,"")),"")</f>
        <v>0.44999999999999996</v>
      </c>
      <c r="AC179" s="131" t="str">
        <f>IFERROR(IF(OR(AND(Y179="Muy Baja",AA179="Leve"),AND(Y179="Muy Baja",AA179="Menor"),AND(Y179="Baja",AA179="Leve")),"Bajo",IF(OR(AND(Y179="Muy baja",AA179="Moderado"),AND(Y179="Baja",AA179="Menor"),AND(Y179="Baja",AA179="Moderado"),AND(Y179="Media",AA179="Leve"),AND(Y179="Media",AA179="Menor"),AND(Y179="Media",AA179="Moderado"),AND(Y179="Alta",AA179="Leve"),AND(Y179="Alta",AA179="Menor")),"Moderado",IF(OR(AND(Y179="Muy Baja",AA179="Mayor"),AND(Y179="Baja",AA179="Mayor"),AND(Y179="Media",AA179="Mayor"),AND(Y179="Alta",AA179="Moderado"),AND(Y179="Alta",AA179="Mayor"),AND(Y179="Muy Alta",AA179="Leve"),AND(Y179="Muy Alta",AA179="Menor"),AND(Y179="Muy Alta",AA179="Moderado"),AND(Y179="Muy Alta",AA179="Mayor")),"Alto",IF(OR(AND(Y179="Muy Baja",AA179="Catastrófico"),AND(Y179="Baja",AA179="Catastrófico"),AND(Y179="Media",AA179="Catastrófico"),AND(Y179="Alta",AA179="Catastrófico"),AND(Y179="Muy Alta",AA179="Catastrófico")),"Extremo","")))),"")</f>
        <v>Alto</v>
      </c>
      <c r="AD179" s="132" t="s">
        <v>134</v>
      </c>
      <c r="AE179" s="133"/>
      <c r="AF179" s="134"/>
      <c r="AG179" s="135"/>
      <c r="AH179" s="135"/>
      <c r="AI179" s="133"/>
      <c r="AJ179" s="134"/>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row>
    <row r="180" spans="1:68" ht="151.5" customHeight="1" x14ac:dyDescent="0.15">
      <c r="A180" s="196"/>
      <c r="B180" s="199"/>
      <c r="C180" s="199"/>
      <c r="D180" s="199"/>
      <c r="E180" s="202"/>
      <c r="F180" s="199"/>
      <c r="G180" s="205"/>
      <c r="H180" s="190"/>
      <c r="I180" s="187"/>
      <c r="J180" s="184"/>
      <c r="K180" s="187">
        <f>IF(NOT(ISERROR(MATCH(J180,_xlfn.ANCHORARRAY(E374),0))),I376&amp;"Por favor no seleccionar los criterios de impacto",J180)</f>
        <v>0</v>
      </c>
      <c r="L180" s="190"/>
      <c r="M180" s="187"/>
      <c r="N180" s="193"/>
      <c r="O180" s="123">
        <v>2</v>
      </c>
      <c r="P180" s="124" t="s">
        <v>308</v>
      </c>
      <c r="Q180" s="125" t="str">
        <f>IF(OR(R180="Preventivo",R180="Detectivo"),"Probabilidad",IF(R180="Correctivo","Impacto",""))</f>
        <v>Impacto</v>
      </c>
      <c r="R180" s="126" t="s">
        <v>14</v>
      </c>
      <c r="S180" s="126" t="s">
        <v>9</v>
      </c>
      <c r="T180" s="127" t="str">
        <f>IF(AND(R180="Preventivo",S180="Automático"),"50%",IF(AND(R180="Preventivo",S180="Manual"),"40%",IF(AND(R180="Detectivo",S180="Automático"),"40%",IF(AND(R180="Detectivo",S180="Manual"),"30%",IF(AND(R180="Correctivo",S180="Automático"),"10%",IF(AND(R180="Correctivo",S180="Manual"),"10%",""))))))</f>
        <v>10%</v>
      </c>
      <c r="U180" s="126" t="s">
        <v>17</v>
      </c>
      <c r="V180" s="126" t="s">
        <v>20</v>
      </c>
      <c r="W180" s="126" t="s">
        <v>117</v>
      </c>
      <c r="X180" s="128">
        <f>IFERROR(IF(AND(Q179="Probabilidad",Q180="Probabilidad"),(Z179-(+Z179*T180)),IF(Q180="Probabilidad",(I179-(+I179*T180)),IF(Q180="Impacto",Z179,""))),"")</f>
        <v>0.8</v>
      </c>
      <c r="Y180" s="129" t="str">
        <f>IFERROR(IF(X180="","",IF(X180&lt;=0.2,"Muy Baja",IF(X180&lt;=0.4,"Baja",IF(X180&lt;=0.6,"Media",IF(X180&lt;=0.8,"Alta","Muy Alta"))))),"")</f>
        <v>Alta</v>
      </c>
      <c r="Z180" s="130">
        <f>+X180</f>
        <v>0.8</v>
      </c>
      <c r="AA180" s="129" t="str">
        <f t="shared" ref="AA180:AA181" si="208">IFERROR(IF(AB180="","",IF(AB180&lt;=0.2,"Leve",IF(AB180&lt;=0.4,"Menor",IF(AB180&lt;=0.6,"Moderado",IF(AB180&lt;=0.8,"Mayor","Catastrófico"))))),"")</f>
        <v>Moderado</v>
      </c>
      <c r="AB180" s="130">
        <f>IFERROR(IF(AND(Q179="Impacto",Q180="Impacto"),(AB179-(+AB179*T180)),IF(Q180="Impacto",(M179-(+M179*T180)),IF(Q180="Probabilidad",AB179,""))),"")</f>
        <v>0.40499999999999997</v>
      </c>
      <c r="AC180" s="131" t="str">
        <f t="shared" ref="AC180:AC181" si="209">IFERROR(IF(OR(AND(Y180="Muy Baja",AA180="Leve"),AND(Y180="Muy Baja",AA180="Menor"),AND(Y180="Baja",AA180="Leve")),"Bajo",IF(OR(AND(Y180="Muy baja",AA180="Moderado"),AND(Y180="Baja",AA180="Menor"),AND(Y180="Baja",AA180="Moderado"),AND(Y180="Media",AA180="Leve"),AND(Y180="Media",AA180="Menor"),AND(Y180="Media",AA180="Moderado"),AND(Y180="Alta",AA180="Leve"),AND(Y180="Alta",AA180="Menor")),"Moderado",IF(OR(AND(Y180="Muy Baja",AA180="Mayor"),AND(Y180="Baja",AA180="Mayor"),AND(Y180="Media",AA180="Mayor"),AND(Y180="Alta",AA180="Moderado"),AND(Y180="Alta",AA180="Mayor"),AND(Y180="Muy Alta",AA180="Leve"),AND(Y180="Muy Alta",AA180="Menor"),AND(Y180="Muy Alta",AA180="Moderado"),AND(Y180="Muy Alta",AA180="Mayor")),"Alto",IF(OR(AND(Y180="Muy Baja",AA180="Catastrófico"),AND(Y180="Baja",AA180="Catastrófico"),AND(Y180="Media",AA180="Catastrófico"),AND(Y180="Alta",AA180="Catastrófico"),AND(Y180="Muy Alta",AA180="Catastrófico")),"Extremo","")))),"")</f>
        <v>Alto</v>
      </c>
      <c r="AD180" s="132" t="s">
        <v>134</v>
      </c>
      <c r="AE180" s="133"/>
      <c r="AF180" s="134"/>
      <c r="AG180" s="135"/>
      <c r="AH180" s="135"/>
      <c r="AI180" s="133"/>
      <c r="AJ180" s="134"/>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row>
    <row r="181" spans="1:68" ht="151.5" customHeight="1" x14ac:dyDescent="0.15">
      <c r="A181" s="196"/>
      <c r="B181" s="199"/>
      <c r="C181" s="199"/>
      <c r="D181" s="199"/>
      <c r="E181" s="202"/>
      <c r="F181" s="199"/>
      <c r="G181" s="205"/>
      <c r="H181" s="190"/>
      <c r="I181" s="187"/>
      <c r="J181" s="184"/>
      <c r="K181" s="187">
        <f>IF(NOT(ISERROR(MATCH(J181,_xlfn.ANCHORARRAY(E375),0))),I377&amp;"Por favor no seleccionar los criterios de impacto",J181)</f>
        <v>0</v>
      </c>
      <c r="L181" s="190"/>
      <c r="M181" s="187"/>
      <c r="N181" s="193"/>
      <c r="O181" s="123">
        <v>3</v>
      </c>
      <c r="P181" s="124" t="s">
        <v>309</v>
      </c>
      <c r="Q181" s="125" t="str">
        <f>IF(OR(R181="Preventivo",R181="Detectivo"),"Probabilidad",IF(R181="Correctivo","Impacto",""))</f>
        <v/>
      </c>
      <c r="R181" s="126"/>
      <c r="S181" s="126"/>
      <c r="T181" s="127" t="str">
        <f t="shared" ref="T181" si="210">IF(AND(R181="Preventivo",S181="Automático"),"50%",IF(AND(R181="Preventivo",S181="Manual"),"40%",IF(AND(R181="Detectivo",S181="Automático"),"40%",IF(AND(R181="Detectivo",S181="Manual"),"30%",IF(AND(R181="Correctivo",S181="Automático"),"35%",IF(AND(R181="Correctivo",S181="Manual"),"25%",""))))))</f>
        <v/>
      </c>
      <c r="U181" s="126"/>
      <c r="V181" s="126"/>
      <c r="W181" s="126"/>
      <c r="X181" s="128" t="str">
        <f>IFERROR(IF(AND(Q180="Probabilidad",Q181="Probabilidad"),(Z180-(+Z180*T181)),IF(AND(Q180="Impacto",Q181="Probabilidad"),(Z179-(+Z179*T181)),IF(Q181="Impacto",Z180,""))),"")</f>
        <v/>
      </c>
      <c r="Y181" s="129" t="str">
        <f>IFERROR(IF(X181="","",IF(X181&lt;=0.2,"Muy Baja",IF(X181&lt;=0.4,"Baja",IF(X181&lt;=0.6,"Media",IF(X181&lt;=0.8,"Alta","Muy Alta"))))),"")</f>
        <v/>
      </c>
      <c r="Z181" s="130" t="str">
        <f>+X181</f>
        <v/>
      </c>
      <c r="AA181" s="129" t="str">
        <f t="shared" si="208"/>
        <v/>
      </c>
      <c r="AB181" s="130" t="str">
        <f>IFERROR(IF(AND(Q180="Impacto",Q181="Impacto"),(AB180-(+AB180*T181)),IF(Q181="Impacto",(M180-(+M180*T181)),IF(Q181="Probabilidad",AB180,""))),"")</f>
        <v/>
      </c>
      <c r="AC181" s="131" t="str">
        <f t="shared" si="209"/>
        <v/>
      </c>
      <c r="AD181" s="132"/>
      <c r="AE181" s="133"/>
      <c r="AF181" s="134"/>
      <c r="AG181" s="135"/>
      <c r="AH181" s="135"/>
      <c r="AI181" s="133"/>
      <c r="AJ181" s="134"/>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row>
    <row r="182" spans="1:68" ht="151.5" customHeight="1" x14ac:dyDescent="0.15">
      <c r="A182" s="196"/>
      <c r="B182" s="199"/>
      <c r="C182" s="199"/>
      <c r="D182" s="199"/>
      <c r="E182" s="202"/>
      <c r="F182" s="199"/>
      <c r="G182" s="205"/>
      <c r="H182" s="190"/>
      <c r="I182" s="187"/>
      <c r="J182" s="184"/>
      <c r="K182" s="187">
        <f>IF(NOT(ISERROR(MATCH(J182,_xlfn.ANCHORARRAY(E376),0))),I378&amp;"Por favor no seleccionar los criterios de impacto",J182)</f>
        <v>0</v>
      </c>
      <c r="L182" s="190"/>
      <c r="M182" s="187"/>
      <c r="N182" s="193"/>
      <c r="O182" s="123"/>
      <c r="P182" s="124"/>
      <c r="Q182" s="125"/>
      <c r="R182" s="126"/>
      <c r="S182" s="126"/>
      <c r="T182" s="127"/>
      <c r="U182" s="126"/>
      <c r="V182" s="126"/>
      <c r="W182" s="126"/>
      <c r="X182" s="128"/>
      <c r="Y182" s="129"/>
      <c r="Z182" s="130"/>
      <c r="AA182" s="129"/>
      <c r="AB182" s="130"/>
      <c r="AC182" s="131"/>
      <c r="AD182" s="132"/>
      <c r="AE182" s="133"/>
      <c r="AF182" s="134"/>
      <c r="AG182" s="135"/>
      <c r="AH182" s="135"/>
      <c r="AI182" s="133"/>
      <c r="AJ182" s="134"/>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row>
    <row r="183" spans="1:68" ht="151.5" customHeight="1" x14ac:dyDescent="0.15">
      <c r="A183" s="196"/>
      <c r="B183" s="199"/>
      <c r="C183" s="199"/>
      <c r="D183" s="199"/>
      <c r="E183" s="202"/>
      <c r="F183" s="199"/>
      <c r="G183" s="205"/>
      <c r="H183" s="190"/>
      <c r="I183" s="187"/>
      <c r="J183" s="184"/>
      <c r="K183" s="187">
        <f>IF(NOT(ISERROR(MATCH(J183,_xlfn.ANCHORARRAY(E377),0))),I379&amp;"Por favor no seleccionar los criterios de impacto",J183)</f>
        <v>0</v>
      </c>
      <c r="L183" s="190"/>
      <c r="M183" s="187"/>
      <c r="N183" s="193"/>
      <c r="O183" s="123"/>
      <c r="P183" s="124"/>
      <c r="Q183" s="125"/>
      <c r="R183" s="126"/>
      <c r="S183" s="126"/>
      <c r="T183" s="127"/>
      <c r="U183" s="126"/>
      <c r="V183" s="126"/>
      <c r="W183" s="126"/>
      <c r="X183" s="128"/>
      <c r="Y183" s="129"/>
      <c r="Z183" s="130"/>
      <c r="AA183" s="129"/>
      <c r="AB183" s="130"/>
      <c r="AC183" s="131"/>
      <c r="AD183" s="132"/>
      <c r="AE183" s="133"/>
      <c r="AF183" s="134"/>
      <c r="AG183" s="135"/>
      <c r="AH183" s="135"/>
      <c r="AI183" s="133"/>
      <c r="AJ183" s="134"/>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row>
    <row r="184" spans="1:68" ht="151.5" customHeight="1" x14ac:dyDescent="0.15">
      <c r="A184" s="197"/>
      <c r="B184" s="200"/>
      <c r="C184" s="200"/>
      <c r="D184" s="200"/>
      <c r="E184" s="203"/>
      <c r="F184" s="200"/>
      <c r="G184" s="206"/>
      <c r="H184" s="191"/>
      <c r="I184" s="188"/>
      <c r="J184" s="185"/>
      <c r="K184" s="188">
        <f>IF(NOT(ISERROR(MATCH(J184,_xlfn.ANCHORARRAY(E378),0))),I380&amp;"Por favor no seleccionar los criterios de impacto",J184)</f>
        <v>0</v>
      </c>
      <c r="L184" s="191"/>
      <c r="M184" s="188"/>
      <c r="N184" s="194"/>
      <c r="O184" s="123"/>
      <c r="P184" s="124"/>
      <c r="Q184" s="125"/>
      <c r="R184" s="126"/>
      <c r="S184" s="126"/>
      <c r="T184" s="127"/>
      <c r="U184" s="126"/>
      <c r="V184" s="126"/>
      <c r="W184" s="126"/>
      <c r="X184" s="128"/>
      <c r="Y184" s="129"/>
      <c r="Z184" s="130"/>
      <c r="AA184" s="129"/>
      <c r="AB184" s="130"/>
      <c r="AC184" s="131"/>
      <c r="AD184" s="132"/>
      <c r="AE184" s="133"/>
      <c r="AF184" s="134"/>
      <c r="AG184" s="135"/>
      <c r="AH184" s="135"/>
      <c r="AI184" s="133"/>
      <c r="AJ184" s="134"/>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row>
    <row r="185" spans="1:68" ht="151.5" customHeight="1" x14ac:dyDescent="0.15">
      <c r="A185" s="195">
        <f>+A179+1</f>
        <v>30</v>
      </c>
      <c r="B185" s="198" t="s">
        <v>131</v>
      </c>
      <c r="C185" s="198" t="s">
        <v>306</v>
      </c>
      <c r="D185" s="198"/>
      <c r="E185" s="201" t="s">
        <v>310</v>
      </c>
      <c r="F185" s="198"/>
      <c r="G185" s="204">
        <v>1000</v>
      </c>
      <c r="H185" s="189" t="str">
        <f>IF(G185&lt;=0,"",IF(G185&lt;=2,"Muy Baja",IF(G185&lt;=24,"Baja",IF(G185&lt;=500,"Media",IF(G185&lt;=5000,"Alta","Muy Alta")))))</f>
        <v>Alta</v>
      </c>
      <c r="I185" s="186">
        <f>IF(H185="","",IF(H185="Muy Baja",0.2,IF(H185="Baja",0.4,IF(H185="Media",0.6,IF(H185="Alta",0.8,IF(H185="Muy Alta",1,))))))</f>
        <v>0.8</v>
      </c>
      <c r="J185" s="183" t="s">
        <v>150</v>
      </c>
      <c r="K185" s="186" t="str">
        <f>IF(NOT(ISERROR(MATCH(J185,'Tabla Impacto'!$B$221:$B$223,0))),'Tabla Impacto'!$F$223&amp;"Por favor no seleccionar los criterios de impacto(Afectación Económica o presupuestal y Pérdida Reputacional)",J185)</f>
        <v xml:space="preserve">     Mayor a 500 SMLMV </v>
      </c>
      <c r="L185" s="189" t="str">
        <f>IF(OR(K185='Tabla Impacto'!$C$11,K185='Tabla Impacto'!$D$11),"Leve",IF(OR(K185='Tabla Impacto'!$C$12,K185='Tabla Impacto'!$D$12),"Menor",IF(OR(K185='Tabla Impacto'!$C$13,K185='Tabla Impacto'!$D$13),"Moderado",IF(OR(K185='Tabla Impacto'!$C$14,K185='Tabla Impacto'!$D$14),"Mayor",IF(OR(K185='Tabla Impacto'!$C$15,K185='Tabla Impacto'!$D$15),"Catastrófico","")))))</f>
        <v>Catastrófico</v>
      </c>
      <c r="M185" s="186">
        <f>IF(L185="","",IF(L185="Leve",0.2,IF(L185="Menor",0.4,IF(L185="Moderado",0.6,IF(L185="Mayor",0.8,IF(L185="Catastrófico",1,))))))</f>
        <v>1</v>
      </c>
      <c r="N185" s="192" t="str">
        <f>IF(OR(AND(H185="Muy Baja",L185="Leve"),AND(H185="Muy Baja",L185="Menor"),AND(H185="Baja",L185="Leve")),"Bajo",IF(OR(AND(H185="Muy baja",L185="Moderado"),AND(H185="Baja",L185="Menor"),AND(H185="Baja",L185="Moderado"),AND(H185="Media",L185="Leve"),AND(H185="Media",L185="Menor"),AND(H185="Media",L185="Moderado"),AND(H185="Alta",L185="Leve"),AND(H185="Alta",L185="Menor")),"Moderado",IF(OR(AND(H185="Muy Baja",L185="Mayor"),AND(H185="Baja",L185="Mayor"),AND(H185="Media",L185="Mayor"),AND(H185="Alta",L185="Moderado"),AND(H185="Alta",L185="Mayor"),AND(H185="Muy Alta",L185="Leve"),AND(H185="Muy Alta",L185="Menor"),AND(H185="Muy Alta",L185="Moderado"),AND(H185="Muy Alta",L185="Mayor")),"Alto",IF(OR(AND(H185="Muy Baja",L185="Catastrófico"),AND(H185="Baja",L185="Catastrófico"),AND(H185="Media",L185="Catastrófico"),AND(H185="Alta",L185="Catastrófico"),AND(H185="Muy Alta",L185="Catastrófico")),"Extremo",""))))</f>
        <v>Extremo</v>
      </c>
      <c r="O185" s="123">
        <v>1</v>
      </c>
      <c r="P185" s="124" t="s">
        <v>311</v>
      </c>
      <c r="Q185" s="125" t="str">
        <f>IF(OR(R185="Preventivo",R185="Detectivo"),"Probabilidad",IF(R185="Correctivo","Impacto",""))</f>
        <v>Probabilidad</v>
      </c>
      <c r="R185" s="126" t="s">
        <v>12</v>
      </c>
      <c r="S185" s="126" t="s">
        <v>9</v>
      </c>
      <c r="T185" s="127" t="str">
        <f>IF(AND(R185="Preventivo",S185="Automático"),"50%",IF(AND(R185="Preventivo",S185="Manual"),"40%",IF(AND(R185="Detectivo",S185="Automático"),"40%",IF(AND(R185="Detectivo",S185="Manual"),"30%",IF(AND(R185="Correctivo",S185="Automático"),"35%",IF(AND(R185="Correctivo",S185="Manual"),"25%",""))))))</f>
        <v>50%</v>
      </c>
      <c r="U185" s="126" t="s">
        <v>17</v>
      </c>
      <c r="V185" s="126" t="s">
        <v>20</v>
      </c>
      <c r="W185" s="126" t="s">
        <v>117</v>
      </c>
      <c r="X185" s="128">
        <f>IFERROR(IF(Q185="Probabilidad",(I185-(+I185*T185)),IF(Q185="Impacto",I185,"")),"")</f>
        <v>0.4</v>
      </c>
      <c r="Y185" s="129" t="str">
        <f>IFERROR(IF(X185="","",IF(X185&lt;=0.2,"Muy Baja",IF(X185&lt;=0.4,"Baja",IF(X185&lt;=0.6,"Media",IF(X185&lt;=0.8,"Alta","Muy Alta"))))),"")</f>
        <v>Baja</v>
      </c>
      <c r="Z185" s="130">
        <f>+X185</f>
        <v>0.4</v>
      </c>
      <c r="AA185" s="129" t="str">
        <f>IFERROR(IF(AB185="","",IF(AB185&lt;=0.2,"Leve",IF(AB185&lt;=0.4,"Menor",IF(AB185&lt;=0.6,"Moderado",IF(AB185&lt;=0.8,"Mayor","Catastrófico"))))),"")</f>
        <v>Catastrófico</v>
      </c>
      <c r="AB185" s="130">
        <f>IFERROR(IF(Q185="Impacto",(M185-(+M185*T185)),IF(Q185="Probabilidad",M185,"")),"")</f>
        <v>1</v>
      </c>
      <c r="AC185" s="131" t="str">
        <f>IFERROR(IF(OR(AND(Y185="Muy Baja",AA185="Leve"),AND(Y185="Muy Baja",AA185="Menor"),AND(Y185="Baja",AA185="Leve")),"Bajo",IF(OR(AND(Y185="Muy baja",AA185="Moderado"),AND(Y185="Baja",AA185="Menor"),AND(Y185="Baja",AA185="Moderado"),AND(Y185="Media",AA185="Leve"),AND(Y185="Media",AA185="Menor"),AND(Y185="Media",AA185="Moderado"),AND(Y185="Alta",AA185="Leve"),AND(Y185="Alta",AA185="Menor")),"Moderado",IF(OR(AND(Y185="Muy Baja",AA185="Mayor"),AND(Y185="Baja",AA185="Mayor"),AND(Y185="Media",AA185="Mayor"),AND(Y185="Alta",AA185="Moderado"),AND(Y185="Alta",AA185="Mayor"),AND(Y185="Muy Alta",AA185="Leve"),AND(Y185="Muy Alta",AA185="Menor"),AND(Y185="Muy Alta",AA185="Moderado"),AND(Y185="Muy Alta",AA185="Mayor")),"Alto",IF(OR(AND(Y185="Muy Baja",AA185="Catastrófico"),AND(Y185="Baja",AA185="Catastrófico"),AND(Y185="Media",AA185="Catastrófico"),AND(Y185="Alta",AA185="Catastrófico"),AND(Y185="Muy Alta",AA185="Catastrófico")),"Extremo","")))),"")</f>
        <v>Extremo</v>
      </c>
      <c r="AD185" s="132" t="s">
        <v>134</v>
      </c>
      <c r="AE185" s="133"/>
      <c r="AF185" s="134"/>
      <c r="AG185" s="135"/>
      <c r="AH185" s="135"/>
      <c r="AI185" s="133"/>
      <c r="AJ185" s="134"/>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row>
    <row r="186" spans="1:68" ht="151.5" customHeight="1" x14ac:dyDescent="0.15">
      <c r="A186" s="196"/>
      <c r="B186" s="199"/>
      <c r="C186" s="199"/>
      <c r="D186" s="199"/>
      <c r="E186" s="202"/>
      <c r="F186" s="199"/>
      <c r="G186" s="205"/>
      <c r="H186" s="190"/>
      <c r="I186" s="187"/>
      <c r="J186" s="184"/>
      <c r="K186" s="187">
        <f>IF(NOT(ISERROR(MATCH(J186,_xlfn.ANCHORARRAY(E380),0))),I382&amp;"Por favor no seleccionar los criterios de impacto",J186)</f>
        <v>0</v>
      </c>
      <c r="L186" s="190"/>
      <c r="M186" s="187"/>
      <c r="N186" s="193"/>
      <c r="O186" s="123">
        <v>2</v>
      </c>
      <c r="P186" s="124" t="s">
        <v>312</v>
      </c>
      <c r="Q186" s="125" t="str">
        <f>IF(OR(R186="Preventivo",R186="Detectivo"),"Probabilidad",IF(R186="Correctivo","Impacto",""))</f>
        <v>Probabilidad</v>
      </c>
      <c r="R186" s="126" t="s">
        <v>12</v>
      </c>
      <c r="S186" s="126" t="s">
        <v>9</v>
      </c>
      <c r="T186" s="127" t="str">
        <f t="shared" ref="T186:T187" si="211">IF(AND(R186="Preventivo",S186="Automático"),"50%",IF(AND(R186="Preventivo",S186="Manual"),"40%",IF(AND(R186="Detectivo",S186="Automático"),"40%",IF(AND(R186="Detectivo",S186="Manual"),"30%",IF(AND(R186="Correctivo",S186="Automático"),"35%",IF(AND(R186="Correctivo",S186="Manual"),"25%",""))))))</f>
        <v>50%</v>
      </c>
      <c r="U186" s="126" t="s">
        <v>17</v>
      </c>
      <c r="V186" s="126" t="s">
        <v>20</v>
      </c>
      <c r="W186" s="126" t="s">
        <v>117</v>
      </c>
      <c r="X186" s="128">
        <f>IFERROR(IF(AND(Q185="Probabilidad",Q186="Probabilidad"),(Z185-(+Z185*T186)),IF(Q186="Probabilidad",(I185-(+I185*T186)),IF(Q186="Impacto",Z185,""))),"")</f>
        <v>0.2</v>
      </c>
      <c r="Y186" s="129" t="str">
        <f>IFERROR(IF(X186="","",IF(X186&lt;=0.2,"Muy Baja",IF(X186&lt;=0.4,"Baja",IF(X186&lt;=0.6,"Media",IF(X186&lt;=0.8,"Alta","Muy Alta"))))),"")</f>
        <v>Muy Baja</v>
      </c>
      <c r="Z186" s="130">
        <f>+X186</f>
        <v>0.2</v>
      </c>
      <c r="AA186" s="129" t="str">
        <f t="shared" ref="AA186:AA187" si="212">IFERROR(IF(AB186="","",IF(AB186&lt;=0.2,"Leve",IF(AB186&lt;=0.4,"Menor",IF(AB186&lt;=0.6,"Moderado",IF(AB186&lt;=0.8,"Mayor","Catastrófico"))))),"")</f>
        <v>Catastrófico</v>
      </c>
      <c r="AB186" s="130">
        <f>IFERROR(IF(AND(Q185="Impacto",Q186="Impacto"),(AB185-(+AB185*T186)),IF(Q186="Impacto",(M185-(+M185*T186)),IF(Q186="Probabilidad",AB185,""))),"")</f>
        <v>1</v>
      </c>
      <c r="AC186" s="131" t="str">
        <f t="shared" ref="AC186:AC187" si="213">IFERROR(IF(OR(AND(Y186="Muy Baja",AA186="Leve"),AND(Y186="Muy Baja",AA186="Menor"),AND(Y186="Baja",AA186="Leve")),"Bajo",IF(OR(AND(Y186="Muy baja",AA186="Moderado"),AND(Y186="Baja",AA186="Menor"),AND(Y186="Baja",AA186="Moderado"),AND(Y186="Media",AA186="Leve"),AND(Y186="Media",AA186="Menor"),AND(Y186="Media",AA186="Moderado"),AND(Y186="Alta",AA186="Leve"),AND(Y186="Alta",AA186="Menor")),"Moderado",IF(OR(AND(Y186="Muy Baja",AA186="Mayor"),AND(Y186="Baja",AA186="Mayor"),AND(Y186="Media",AA186="Mayor"),AND(Y186="Alta",AA186="Moderado"),AND(Y186="Alta",AA186="Mayor"),AND(Y186="Muy Alta",AA186="Leve"),AND(Y186="Muy Alta",AA186="Menor"),AND(Y186="Muy Alta",AA186="Moderado"),AND(Y186="Muy Alta",AA186="Mayor")),"Alto",IF(OR(AND(Y186="Muy Baja",AA186="Catastrófico"),AND(Y186="Baja",AA186="Catastrófico"),AND(Y186="Media",AA186="Catastrófico"),AND(Y186="Alta",AA186="Catastrófico"),AND(Y186="Muy Alta",AA186="Catastrófico")),"Extremo","")))),"")</f>
        <v>Extremo</v>
      </c>
      <c r="AD186" s="132"/>
      <c r="AE186" s="133"/>
      <c r="AF186" s="134"/>
      <c r="AG186" s="135"/>
      <c r="AH186" s="135"/>
      <c r="AI186" s="133"/>
      <c r="AJ186" s="134"/>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row>
    <row r="187" spans="1:68" ht="151.5" customHeight="1" x14ac:dyDescent="0.15">
      <c r="A187" s="196"/>
      <c r="B187" s="199"/>
      <c r="C187" s="199"/>
      <c r="D187" s="199"/>
      <c r="E187" s="202"/>
      <c r="F187" s="199"/>
      <c r="G187" s="205"/>
      <c r="H187" s="190"/>
      <c r="I187" s="187"/>
      <c r="J187" s="184"/>
      <c r="K187" s="187">
        <f>IF(NOT(ISERROR(MATCH(J187,_xlfn.ANCHORARRAY(E381),0))),I383&amp;"Por favor no seleccionar los criterios de impacto",J187)</f>
        <v>0</v>
      </c>
      <c r="L187" s="190"/>
      <c r="M187" s="187"/>
      <c r="N187" s="193"/>
      <c r="O187" s="123"/>
      <c r="P187" s="124"/>
      <c r="Q187" s="125" t="str">
        <f>IF(OR(R187="Preventivo",R187="Detectivo"),"Probabilidad",IF(R187="Correctivo","Impacto",""))</f>
        <v/>
      </c>
      <c r="R187" s="126"/>
      <c r="S187" s="126"/>
      <c r="T187" s="127" t="str">
        <f t="shared" si="211"/>
        <v/>
      </c>
      <c r="U187" s="126"/>
      <c r="V187" s="126"/>
      <c r="W187" s="126"/>
      <c r="X187" s="128" t="str">
        <f>IFERROR(IF(AND(Q186="Probabilidad",Q187="Probabilidad"),(Z186-(+Z186*T187)),IF(AND(Q186="Impacto",Q187="Probabilidad"),(Z185-(+Z185*T187)),IF(Q187="Impacto",Z186,""))),"")</f>
        <v/>
      </c>
      <c r="Y187" s="129" t="str">
        <f>IFERROR(IF(X187="","",IF(X187&lt;=0.2,"Muy Baja",IF(X187&lt;=0.4,"Baja",IF(X187&lt;=0.6,"Media",IF(X187&lt;=0.8,"Alta","Muy Alta"))))),"")</f>
        <v/>
      </c>
      <c r="Z187" s="130" t="str">
        <f>+X187</f>
        <v/>
      </c>
      <c r="AA187" s="129" t="str">
        <f t="shared" si="212"/>
        <v/>
      </c>
      <c r="AB187" s="130" t="str">
        <f>IFERROR(IF(AND(Q186="Impacto",Q187="Impacto"),(AB186-(+AB186*T187)),IF(Q187="Impacto",(M186-(+M186*T187)),IF(Q187="Probabilidad",AB186,""))),"")</f>
        <v/>
      </c>
      <c r="AC187" s="131" t="str">
        <f t="shared" si="213"/>
        <v/>
      </c>
      <c r="AD187" s="132"/>
      <c r="AE187" s="133"/>
      <c r="AF187" s="134"/>
      <c r="AG187" s="135"/>
      <c r="AH187" s="135"/>
      <c r="AI187" s="133"/>
      <c r="AJ187" s="134"/>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row>
    <row r="188" spans="1:68" ht="151.5" customHeight="1" x14ac:dyDescent="0.15">
      <c r="A188" s="196"/>
      <c r="B188" s="199"/>
      <c r="C188" s="199"/>
      <c r="D188" s="199"/>
      <c r="E188" s="202"/>
      <c r="F188" s="199"/>
      <c r="G188" s="205"/>
      <c r="H188" s="190"/>
      <c r="I188" s="187"/>
      <c r="J188" s="184"/>
      <c r="K188" s="187">
        <f>IF(NOT(ISERROR(MATCH(J188,_xlfn.ANCHORARRAY(E382),0))),I384&amp;"Por favor no seleccionar los criterios de impacto",J188)</f>
        <v>0</v>
      </c>
      <c r="L188" s="190"/>
      <c r="M188" s="187"/>
      <c r="N188" s="193"/>
      <c r="O188" s="123"/>
      <c r="P188" s="124"/>
      <c r="Q188" s="125"/>
      <c r="R188" s="126"/>
      <c r="S188" s="126"/>
      <c r="T188" s="127"/>
      <c r="U188" s="126"/>
      <c r="V188" s="126"/>
      <c r="W188" s="126"/>
      <c r="X188" s="128"/>
      <c r="Y188" s="129"/>
      <c r="Z188" s="130"/>
      <c r="AA188" s="129"/>
      <c r="AB188" s="130"/>
      <c r="AC188" s="131"/>
      <c r="AD188" s="132"/>
      <c r="AE188" s="133"/>
      <c r="AF188" s="134"/>
      <c r="AG188" s="135"/>
      <c r="AH188" s="135"/>
      <c r="AI188" s="133"/>
      <c r="AJ188" s="134"/>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row>
    <row r="189" spans="1:68" ht="151.5" customHeight="1" x14ac:dyDescent="0.15">
      <c r="A189" s="196"/>
      <c r="B189" s="199"/>
      <c r="C189" s="199"/>
      <c r="D189" s="199"/>
      <c r="E189" s="202"/>
      <c r="F189" s="199"/>
      <c r="G189" s="205"/>
      <c r="H189" s="190"/>
      <c r="I189" s="187"/>
      <c r="J189" s="184"/>
      <c r="K189" s="187">
        <f>IF(NOT(ISERROR(MATCH(J189,_xlfn.ANCHORARRAY(E383),0))),I385&amp;"Por favor no seleccionar los criterios de impacto",J189)</f>
        <v>0</v>
      </c>
      <c r="L189" s="190"/>
      <c r="M189" s="187"/>
      <c r="N189" s="193"/>
      <c r="O189" s="123"/>
      <c r="P189" s="124"/>
      <c r="Q189" s="125"/>
      <c r="R189" s="126"/>
      <c r="S189" s="126"/>
      <c r="T189" s="127"/>
      <c r="U189" s="126"/>
      <c r="V189" s="126"/>
      <c r="W189" s="126"/>
      <c r="X189" s="128"/>
      <c r="Y189" s="129"/>
      <c r="Z189" s="130"/>
      <c r="AA189" s="129"/>
      <c r="AB189" s="130"/>
      <c r="AC189" s="131"/>
      <c r="AD189" s="132"/>
      <c r="AE189" s="133"/>
      <c r="AF189" s="134"/>
      <c r="AG189" s="135"/>
      <c r="AH189" s="135"/>
      <c r="AI189" s="133"/>
      <c r="AJ189" s="134"/>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row>
    <row r="190" spans="1:68" ht="151.5" customHeight="1" x14ac:dyDescent="0.15">
      <c r="A190" s="197"/>
      <c r="B190" s="200"/>
      <c r="C190" s="200"/>
      <c r="D190" s="200"/>
      <c r="E190" s="203"/>
      <c r="F190" s="200"/>
      <c r="G190" s="206"/>
      <c r="H190" s="191"/>
      <c r="I190" s="188"/>
      <c r="J190" s="185"/>
      <c r="K190" s="188">
        <f>IF(NOT(ISERROR(MATCH(J190,_xlfn.ANCHORARRAY(E384),0))),I386&amp;"Por favor no seleccionar los criterios de impacto",J190)</f>
        <v>0</v>
      </c>
      <c r="L190" s="191"/>
      <c r="M190" s="188"/>
      <c r="N190" s="194"/>
      <c r="O190" s="123"/>
      <c r="P190" s="124"/>
      <c r="Q190" s="125"/>
      <c r="R190" s="126"/>
      <c r="S190" s="126"/>
      <c r="T190" s="127"/>
      <c r="U190" s="126"/>
      <c r="V190" s="126"/>
      <c r="W190" s="126"/>
      <c r="X190" s="128"/>
      <c r="Y190" s="129"/>
      <c r="Z190" s="130"/>
      <c r="AA190" s="129"/>
      <c r="AB190" s="130"/>
      <c r="AC190" s="131"/>
      <c r="AD190" s="132"/>
      <c r="AE190" s="133"/>
      <c r="AF190" s="134"/>
      <c r="AG190" s="135"/>
      <c r="AH190" s="135"/>
      <c r="AI190" s="133"/>
      <c r="AJ190" s="134"/>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row>
    <row r="191" spans="1:68" ht="151.5" customHeight="1" x14ac:dyDescent="0.15">
      <c r="A191" s="195">
        <f>+A185+1</f>
        <v>31</v>
      </c>
      <c r="B191" s="198" t="s">
        <v>131</v>
      </c>
      <c r="C191" s="198" t="s">
        <v>306</v>
      </c>
      <c r="D191" s="198"/>
      <c r="E191" s="201" t="s">
        <v>313</v>
      </c>
      <c r="F191" s="198"/>
      <c r="G191" s="204">
        <v>1000</v>
      </c>
      <c r="H191" s="189" t="str">
        <f>IF(G191&lt;=0,"",IF(G191&lt;=2,"Muy Baja",IF(G191&lt;=24,"Baja",IF(G191&lt;=500,"Media",IF(G191&lt;=5000,"Alta","Muy Alta")))))</f>
        <v>Alta</v>
      </c>
      <c r="I191" s="186">
        <f>IF(H191="","",IF(H191="Muy Baja",0.2,IF(H191="Baja",0.4,IF(H191="Media",0.6,IF(H191="Alta",0.8,IF(H191="Muy Alta",1,))))))</f>
        <v>0.8</v>
      </c>
      <c r="J191" s="183" t="s">
        <v>147</v>
      </c>
      <c r="K191" s="186" t="str">
        <f>IF(NOT(ISERROR(MATCH(J191,'Tabla Impacto'!$B$221:$B$223,0))),'Tabla Impacto'!$F$223&amp;"Por favor no seleccionar los criterios de impacto(Afectación Económica o presupuestal y Pérdida Reputacional)",J191)</f>
        <v xml:space="preserve">     Entre 50 y 100 SMLMV </v>
      </c>
      <c r="L191" s="189" t="str">
        <f>IF(OR(K191='Tabla Impacto'!$C$11,K191='Tabla Impacto'!$D$11),"Leve",IF(OR(K191='Tabla Impacto'!$C$12,K191='Tabla Impacto'!$D$12),"Menor",IF(OR(K191='Tabla Impacto'!$C$13,K191='Tabla Impacto'!$D$13),"Moderado",IF(OR(K191='Tabla Impacto'!$C$14,K191='Tabla Impacto'!$D$14),"Mayor",IF(OR(K191='Tabla Impacto'!$C$15,K191='Tabla Impacto'!$D$15),"Catastrófico","")))))</f>
        <v>Moderado</v>
      </c>
      <c r="M191" s="186">
        <f>IF(L191="","",IF(L191="Leve",0.2,IF(L191="Menor",0.4,IF(L191="Moderado",0.6,IF(L191="Mayor",0.8,IF(L191="Catastrófico",1,))))))</f>
        <v>0.6</v>
      </c>
      <c r="N191" s="192" t="str">
        <f>IF(OR(AND(H191="Muy Baja",L191="Leve"),AND(H191="Muy Baja",L191="Menor"),AND(H191="Baja",L191="Leve")),"Bajo",IF(OR(AND(H191="Muy baja",L191="Moderado"),AND(H191="Baja",L191="Menor"),AND(H191="Baja",L191="Moderado"),AND(H191="Media",L191="Leve"),AND(H191="Media",L191="Menor"),AND(H191="Media",L191="Moderado"),AND(H191="Alta",L191="Leve"),AND(H191="Alta",L191="Menor")),"Moderado",IF(OR(AND(H191="Muy Baja",L191="Mayor"),AND(H191="Baja",L191="Mayor"),AND(H191="Media",L191="Mayor"),AND(H191="Alta",L191="Moderado"),AND(H191="Alta",L191="Mayor"),AND(H191="Muy Alta",L191="Leve"),AND(H191="Muy Alta",L191="Menor"),AND(H191="Muy Alta",L191="Moderado"),AND(H191="Muy Alta",L191="Mayor")),"Alto",IF(OR(AND(H191="Muy Baja",L191="Catastrófico"),AND(H191="Baja",L191="Catastrófico"),AND(H191="Media",L191="Catastrófico"),AND(H191="Alta",L191="Catastrófico"),AND(H191="Muy Alta",L191="Catastrófico")),"Extremo",""))))</f>
        <v>Alto</v>
      </c>
      <c r="O191" s="123">
        <v>1</v>
      </c>
      <c r="P191" s="124" t="s">
        <v>314</v>
      </c>
      <c r="Q191" s="125" t="str">
        <f>IF(OR(R191="Preventivo",R191="Detectivo"),"Probabilidad",IF(R191="Correctivo","Impacto",""))</f>
        <v>Probabilidad</v>
      </c>
      <c r="R191" s="126" t="s">
        <v>12</v>
      </c>
      <c r="S191" s="126" t="s">
        <v>9</v>
      </c>
      <c r="T191" s="127" t="str">
        <f>IF(AND(R191="Preventivo",S191="Automático"),"50%",IF(AND(R191="Preventivo",S191="Manual"),"40%",IF(AND(R191="Detectivo",S191="Automático"),"40%",IF(AND(R191="Detectivo",S191="Manual"),"30%",IF(AND(R191="Correctivo",S191="Automático"),"35%",IF(AND(R191="Correctivo",S191="Manual"),"25%",""))))))</f>
        <v>50%</v>
      </c>
      <c r="U191" s="126" t="s">
        <v>17</v>
      </c>
      <c r="V191" s="126" t="s">
        <v>20</v>
      </c>
      <c r="W191" s="126" t="s">
        <v>117</v>
      </c>
      <c r="X191" s="128">
        <f>IFERROR(IF(Q191="Probabilidad",(I191-(+I191*T191)),IF(Q191="Impacto",I191,"")),"")</f>
        <v>0.4</v>
      </c>
      <c r="Y191" s="129" t="str">
        <f>IFERROR(IF(X191="","",IF(X191&lt;=0.2,"Muy Baja",IF(X191&lt;=0.4,"Baja",IF(X191&lt;=0.6,"Media",IF(X191&lt;=0.8,"Alta","Muy Alta"))))),"")</f>
        <v>Baja</v>
      </c>
      <c r="Z191" s="130">
        <f>+X191</f>
        <v>0.4</v>
      </c>
      <c r="AA191" s="129" t="str">
        <f>IFERROR(IF(AB191="","",IF(AB191&lt;=0.2,"Leve",IF(AB191&lt;=0.4,"Menor",IF(AB191&lt;=0.6,"Moderado",IF(AB191&lt;=0.8,"Mayor","Catastrófico"))))),"")</f>
        <v>Moderado</v>
      </c>
      <c r="AB191" s="130">
        <f>IFERROR(IF(Q191="Impacto",(M191-(+M191*T191)),IF(Q191="Probabilidad",M191,"")),"")</f>
        <v>0.6</v>
      </c>
      <c r="AC191" s="131" t="str">
        <f>IFERROR(IF(OR(AND(Y191="Muy Baja",AA191="Leve"),AND(Y191="Muy Baja",AA191="Menor"),AND(Y191="Baja",AA191="Leve")),"Bajo",IF(OR(AND(Y191="Muy baja",AA191="Moderado"),AND(Y191="Baja",AA191="Menor"),AND(Y191="Baja",AA191="Moderado"),AND(Y191="Media",AA191="Leve"),AND(Y191="Media",AA191="Menor"),AND(Y191="Media",AA191="Moderado"),AND(Y191="Alta",AA191="Leve"),AND(Y191="Alta",AA191="Menor")),"Moderado",IF(OR(AND(Y191="Muy Baja",AA191="Mayor"),AND(Y191="Baja",AA191="Mayor"),AND(Y191="Media",AA191="Mayor"),AND(Y191="Alta",AA191="Moderado"),AND(Y191="Alta",AA191="Mayor"),AND(Y191="Muy Alta",AA191="Leve"),AND(Y191="Muy Alta",AA191="Menor"),AND(Y191="Muy Alta",AA191="Moderado"),AND(Y191="Muy Alta",AA191="Mayor")),"Alto",IF(OR(AND(Y191="Muy Baja",AA191="Catastrófico"),AND(Y191="Baja",AA191="Catastrófico"),AND(Y191="Media",AA191="Catastrófico"),AND(Y191="Alta",AA191="Catastrófico"),AND(Y191="Muy Alta",AA191="Catastrófico")),"Extremo","")))),"")</f>
        <v>Moderado</v>
      </c>
      <c r="AD191" s="132" t="s">
        <v>135</v>
      </c>
      <c r="AE191" s="133"/>
      <c r="AF191" s="134"/>
      <c r="AG191" s="135"/>
      <c r="AH191" s="135"/>
      <c r="AI191" s="133"/>
      <c r="AJ191" s="134"/>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row>
    <row r="192" spans="1:68" ht="151.5" customHeight="1" x14ac:dyDescent="0.15">
      <c r="A192" s="196"/>
      <c r="B192" s="199"/>
      <c r="C192" s="199"/>
      <c r="D192" s="199"/>
      <c r="E192" s="202"/>
      <c r="F192" s="199"/>
      <c r="G192" s="205"/>
      <c r="H192" s="190"/>
      <c r="I192" s="187"/>
      <c r="J192" s="184"/>
      <c r="K192" s="187">
        <f>IF(NOT(ISERROR(MATCH(J192,_xlfn.ANCHORARRAY(E386),0))),I388&amp;"Por favor no seleccionar los criterios de impacto",J192)</f>
        <v>0</v>
      </c>
      <c r="L192" s="190"/>
      <c r="M192" s="187"/>
      <c r="N192" s="193"/>
      <c r="O192" s="123"/>
      <c r="P192" s="124"/>
      <c r="Q192" s="125" t="str">
        <f>IF(OR(R192="Preventivo",R192="Detectivo"),"Probabilidad",IF(R192="Correctivo","Impacto",""))</f>
        <v/>
      </c>
      <c r="R192" s="126"/>
      <c r="S192" s="126"/>
      <c r="T192" s="127" t="str">
        <f t="shared" ref="T192:T193" si="214">IF(AND(R192="Preventivo",S192="Automático"),"50%",IF(AND(R192="Preventivo",S192="Manual"),"40%",IF(AND(R192="Detectivo",S192="Automático"),"40%",IF(AND(R192="Detectivo",S192="Manual"),"30%",IF(AND(R192="Correctivo",S192="Automático"),"35%",IF(AND(R192="Correctivo",S192="Manual"),"25%",""))))))</f>
        <v/>
      </c>
      <c r="U192" s="126"/>
      <c r="V192" s="126"/>
      <c r="W192" s="126"/>
      <c r="X192" s="128" t="str">
        <f>IFERROR(IF(AND(Q191="Probabilidad",Q192="Probabilidad"),(Z191-(+Z191*T192)),IF(Q192="Probabilidad",(I191-(+I191*T192)),IF(Q192="Impacto",Z191,""))),"")</f>
        <v/>
      </c>
      <c r="Y192" s="129" t="str">
        <f>IFERROR(IF(X192="","",IF(X192&lt;=0.2,"Muy Baja",IF(X192&lt;=0.4,"Baja",IF(X192&lt;=0.6,"Media",IF(X192&lt;=0.8,"Alta","Muy Alta"))))),"")</f>
        <v/>
      </c>
      <c r="Z192" s="130" t="str">
        <f>+X192</f>
        <v/>
      </c>
      <c r="AA192" s="129" t="str">
        <f t="shared" ref="AA192:AA193" si="215">IFERROR(IF(AB192="","",IF(AB192&lt;=0.2,"Leve",IF(AB192&lt;=0.4,"Menor",IF(AB192&lt;=0.6,"Moderado",IF(AB192&lt;=0.8,"Mayor","Catastrófico"))))),"")</f>
        <v/>
      </c>
      <c r="AB192" s="130" t="str">
        <f>IFERROR(IF(AND(Q191="Impacto",Q192="Impacto"),(AB191-(+AB191*T192)),IF(Q192="Impacto",(M191-(+M191*T192)),IF(Q192="Probabilidad",AB191,""))),"")</f>
        <v/>
      </c>
      <c r="AC192" s="131" t="str">
        <f t="shared" ref="AC192:AC193" si="216">IFERROR(IF(OR(AND(Y192="Muy Baja",AA192="Leve"),AND(Y192="Muy Baja",AA192="Menor"),AND(Y192="Baja",AA192="Leve")),"Bajo",IF(OR(AND(Y192="Muy baja",AA192="Moderado"),AND(Y192="Baja",AA192="Menor"),AND(Y192="Baja",AA192="Moderado"),AND(Y192="Media",AA192="Leve"),AND(Y192="Media",AA192="Menor"),AND(Y192="Media",AA192="Moderado"),AND(Y192="Alta",AA192="Leve"),AND(Y192="Alta",AA192="Menor")),"Moderado",IF(OR(AND(Y192="Muy Baja",AA192="Mayor"),AND(Y192="Baja",AA192="Mayor"),AND(Y192="Media",AA192="Mayor"),AND(Y192="Alta",AA192="Moderado"),AND(Y192="Alta",AA192="Mayor"),AND(Y192="Muy Alta",AA192="Leve"),AND(Y192="Muy Alta",AA192="Menor"),AND(Y192="Muy Alta",AA192="Moderado"),AND(Y192="Muy Alta",AA192="Mayor")),"Alto",IF(OR(AND(Y192="Muy Baja",AA192="Catastrófico"),AND(Y192="Baja",AA192="Catastrófico"),AND(Y192="Media",AA192="Catastrófico"),AND(Y192="Alta",AA192="Catastrófico"),AND(Y192="Muy Alta",AA192="Catastrófico")),"Extremo","")))),"")</f>
        <v/>
      </c>
      <c r="AD192" s="132"/>
      <c r="AE192" s="133"/>
      <c r="AF192" s="134"/>
      <c r="AG192" s="135"/>
      <c r="AH192" s="135"/>
      <c r="AI192" s="133"/>
      <c r="AJ192" s="134"/>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row>
    <row r="193" spans="1:68" ht="151.5" customHeight="1" x14ac:dyDescent="0.15">
      <c r="A193" s="196"/>
      <c r="B193" s="199"/>
      <c r="C193" s="199"/>
      <c r="D193" s="199"/>
      <c r="E193" s="202"/>
      <c r="F193" s="199"/>
      <c r="G193" s="205"/>
      <c r="H193" s="190"/>
      <c r="I193" s="187"/>
      <c r="J193" s="184"/>
      <c r="K193" s="187">
        <f>IF(NOT(ISERROR(MATCH(J193,_xlfn.ANCHORARRAY(E387),0))),I389&amp;"Por favor no seleccionar los criterios de impacto",J193)</f>
        <v>0</v>
      </c>
      <c r="L193" s="190"/>
      <c r="M193" s="187"/>
      <c r="N193" s="193"/>
      <c r="O193" s="123"/>
      <c r="P193" s="124"/>
      <c r="Q193" s="125" t="str">
        <f>IF(OR(R193="Preventivo",R193="Detectivo"),"Probabilidad",IF(R193="Correctivo","Impacto",""))</f>
        <v/>
      </c>
      <c r="R193" s="126"/>
      <c r="S193" s="126"/>
      <c r="T193" s="127" t="str">
        <f t="shared" si="214"/>
        <v/>
      </c>
      <c r="U193" s="126"/>
      <c r="V193" s="126"/>
      <c r="W193" s="126"/>
      <c r="X193" s="128" t="str">
        <f>IFERROR(IF(AND(Q192="Probabilidad",Q193="Probabilidad"),(Z192-(+Z192*T193)),IF(AND(Q192="Impacto",Q193="Probabilidad"),(Z191-(+Z191*T193)),IF(Q193="Impacto",Z192,""))),"")</f>
        <v/>
      </c>
      <c r="Y193" s="129" t="str">
        <f>IFERROR(IF(X193="","",IF(X193&lt;=0.2,"Muy Baja",IF(X193&lt;=0.4,"Baja",IF(X193&lt;=0.6,"Media",IF(X193&lt;=0.8,"Alta","Muy Alta"))))),"")</f>
        <v/>
      </c>
      <c r="Z193" s="130" t="str">
        <f>+X193</f>
        <v/>
      </c>
      <c r="AA193" s="129" t="str">
        <f t="shared" si="215"/>
        <v/>
      </c>
      <c r="AB193" s="130" t="str">
        <f>IFERROR(IF(AND(Q192="Impacto",Q193="Impacto"),(AB192-(+AB192*T193)),IF(Q193="Impacto",(M192-(+M192*T193)),IF(Q193="Probabilidad",AB192,""))),"")</f>
        <v/>
      </c>
      <c r="AC193" s="131" t="str">
        <f t="shared" si="216"/>
        <v/>
      </c>
      <c r="AD193" s="132"/>
      <c r="AE193" s="133"/>
      <c r="AF193" s="134"/>
      <c r="AG193" s="135"/>
      <c r="AH193" s="135"/>
      <c r="AI193" s="133"/>
      <c r="AJ193" s="134"/>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row>
    <row r="194" spans="1:68" ht="151.5" customHeight="1" x14ac:dyDescent="0.15">
      <c r="A194" s="196"/>
      <c r="B194" s="199"/>
      <c r="C194" s="199"/>
      <c r="D194" s="199"/>
      <c r="E194" s="202"/>
      <c r="F194" s="199"/>
      <c r="G194" s="205"/>
      <c r="H194" s="190"/>
      <c r="I194" s="187"/>
      <c r="J194" s="184"/>
      <c r="K194" s="187">
        <f>IF(NOT(ISERROR(MATCH(J194,_xlfn.ANCHORARRAY(E388),0))),I390&amp;"Por favor no seleccionar los criterios de impacto",J194)</f>
        <v>0</v>
      </c>
      <c r="L194" s="190"/>
      <c r="M194" s="187"/>
      <c r="N194" s="193"/>
      <c r="O194" s="123"/>
      <c r="P194" s="124"/>
      <c r="Q194" s="125"/>
      <c r="R194" s="126"/>
      <c r="S194" s="126"/>
      <c r="T194" s="127"/>
      <c r="U194" s="126"/>
      <c r="V194" s="126"/>
      <c r="W194" s="126"/>
      <c r="X194" s="128"/>
      <c r="Y194" s="129"/>
      <c r="Z194" s="130"/>
      <c r="AA194" s="129"/>
      <c r="AB194" s="130"/>
      <c r="AC194" s="131"/>
      <c r="AD194" s="132"/>
      <c r="AE194" s="133"/>
      <c r="AF194" s="134"/>
      <c r="AG194" s="135"/>
      <c r="AH194" s="135"/>
      <c r="AI194" s="133"/>
      <c r="AJ194" s="134"/>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row>
    <row r="195" spans="1:68" ht="151.5" customHeight="1" x14ac:dyDescent="0.15">
      <c r="A195" s="196"/>
      <c r="B195" s="199"/>
      <c r="C195" s="199"/>
      <c r="D195" s="199"/>
      <c r="E195" s="202"/>
      <c r="F195" s="199"/>
      <c r="G195" s="205"/>
      <c r="H195" s="190"/>
      <c r="I195" s="187"/>
      <c r="J195" s="184"/>
      <c r="K195" s="187">
        <f>IF(NOT(ISERROR(MATCH(J195,_xlfn.ANCHORARRAY(E389),0))),I391&amp;"Por favor no seleccionar los criterios de impacto",J195)</f>
        <v>0</v>
      </c>
      <c r="L195" s="190"/>
      <c r="M195" s="187"/>
      <c r="N195" s="193"/>
      <c r="O195" s="123"/>
      <c r="P195" s="124"/>
      <c r="Q195" s="125"/>
      <c r="R195" s="126"/>
      <c r="S195" s="126"/>
      <c r="T195" s="127"/>
      <c r="U195" s="126"/>
      <c r="V195" s="126"/>
      <c r="W195" s="126"/>
      <c r="X195" s="128"/>
      <c r="Y195" s="129"/>
      <c r="Z195" s="130"/>
      <c r="AA195" s="129"/>
      <c r="AB195" s="130"/>
      <c r="AC195" s="131"/>
      <c r="AD195" s="132"/>
      <c r="AE195" s="133"/>
      <c r="AF195" s="134"/>
      <c r="AG195" s="135"/>
      <c r="AH195" s="135"/>
      <c r="AI195" s="133"/>
      <c r="AJ195" s="134"/>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row>
    <row r="196" spans="1:68" ht="151.5" customHeight="1" x14ac:dyDescent="0.15">
      <c r="A196" s="197"/>
      <c r="B196" s="200"/>
      <c r="C196" s="200"/>
      <c r="D196" s="200"/>
      <c r="E196" s="203"/>
      <c r="F196" s="200"/>
      <c r="G196" s="206"/>
      <c r="H196" s="191"/>
      <c r="I196" s="188"/>
      <c r="J196" s="185"/>
      <c r="K196" s="188">
        <f>IF(NOT(ISERROR(MATCH(J196,_xlfn.ANCHORARRAY(E390),0))),I392&amp;"Por favor no seleccionar los criterios de impacto",J196)</f>
        <v>0</v>
      </c>
      <c r="L196" s="191"/>
      <c r="M196" s="188"/>
      <c r="N196" s="194"/>
      <c r="O196" s="123"/>
      <c r="P196" s="124"/>
      <c r="Q196" s="125"/>
      <c r="R196" s="126"/>
      <c r="S196" s="126"/>
      <c r="T196" s="127"/>
      <c r="U196" s="126"/>
      <c r="V196" s="126"/>
      <c r="W196" s="126"/>
      <c r="X196" s="128"/>
      <c r="Y196" s="129"/>
      <c r="Z196" s="130"/>
      <c r="AA196" s="129"/>
      <c r="AB196" s="130"/>
      <c r="AC196" s="131"/>
      <c r="AD196" s="132"/>
      <c r="AE196" s="133"/>
      <c r="AF196" s="134"/>
      <c r="AG196" s="135"/>
      <c r="AH196" s="135"/>
      <c r="AI196" s="133"/>
      <c r="AJ196" s="134"/>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row>
    <row r="197" spans="1:68" ht="151.5" customHeight="1" x14ac:dyDescent="0.15">
      <c r="A197" s="195">
        <f>+A191+1</f>
        <v>32</v>
      </c>
      <c r="B197" s="198" t="s">
        <v>131</v>
      </c>
      <c r="C197" s="198" t="s">
        <v>306</v>
      </c>
      <c r="D197" s="198"/>
      <c r="E197" s="201" t="s">
        <v>315</v>
      </c>
      <c r="F197" s="198"/>
      <c r="G197" s="204">
        <v>6000</v>
      </c>
      <c r="H197" s="189" t="str">
        <f>IF(G197&lt;=0,"",IF(G197&lt;=2,"Muy Baja",IF(G197&lt;=24,"Baja",IF(G197&lt;=500,"Media",IF(G197&lt;=5000,"Alta","Muy Alta")))))</f>
        <v>Muy Alta</v>
      </c>
      <c r="I197" s="186">
        <f>IF(H197="","",IF(H197="Muy Baja",0.2,IF(H197="Baja",0.4,IF(H197="Media",0.6,IF(H197="Alta",0.8,IF(H197="Muy Alta",1,))))))</f>
        <v>1</v>
      </c>
      <c r="J197" s="183" t="s">
        <v>150</v>
      </c>
      <c r="K197" s="186" t="str">
        <f>IF(NOT(ISERROR(MATCH(J197,'Tabla Impacto'!$B$221:$B$223,0))),'Tabla Impacto'!$F$223&amp;"Por favor no seleccionar los criterios de impacto(Afectación Económica o presupuestal y Pérdida Reputacional)",J197)</f>
        <v xml:space="preserve">     Mayor a 500 SMLMV </v>
      </c>
      <c r="L197" s="189" t="str">
        <f>IF(OR(K197='Tabla Impacto'!$C$11,K197='Tabla Impacto'!$D$11),"Leve",IF(OR(K197='Tabla Impacto'!$C$12,K197='Tabla Impacto'!$D$12),"Menor",IF(OR(K197='Tabla Impacto'!$C$13,K197='Tabla Impacto'!$D$13),"Moderado",IF(OR(K197='Tabla Impacto'!$C$14,K197='Tabla Impacto'!$D$14),"Mayor",IF(OR(K197='Tabla Impacto'!$C$15,K197='Tabla Impacto'!$D$15),"Catastrófico","")))))</f>
        <v>Catastrófico</v>
      </c>
      <c r="M197" s="186">
        <f>IF(L197="","",IF(L197="Leve",0.2,IF(L197="Menor",0.4,IF(L197="Moderado",0.6,IF(L197="Mayor",0.8,IF(L197="Catastrófico",1,))))))</f>
        <v>1</v>
      </c>
      <c r="N197" s="192" t="str">
        <f>IF(OR(AND(H197="Muy Baja",L197="Leve"),AND(H197="Muy Baja",L197="Menor"),AND(H197="Baja",L197="Leve")),"Bajo",IF(OR(AND(H197="Muy baja",L197="Moderado"),AND(H197="Baja",L197="Menor"),AND(H197="Baja",L197="Moderado"),AND(H197="Media",L197="Leve"),AND(H197="Media",L197="Menor"),AND(H197="Media",L197="Moderado"),AND(H197="Alta",L197="Leve"),AND(H197="Alta",L197="Menor")),"Moderado",IF(OR(AND(H197="Muy Baja",L197="Mayor"),AND(H197="Baja",L197="Mayor"),AND(H197="Media",L197="Mayor"),AND(H197="Alta",L197="Moderado"),AND(H197="Alta",L197="Mayor"),AND(H197="Muy Alta",L197="Leve"),AND(H197="Muy Alta",L197="Menor"),AND(H197="Muy Alta",L197="Moderado"),AND(H197="Muy Alta",L197="Mayor")),"Alto",IF(OR(AND(H197="Muy Baja",L197="Catastrófico"),AND(H197="Baja",L197="Catastrófico"),AND(H197="Media",L197="Catastrófico"),AND(H197="Alta",L197="Catastrófico"),AND(H197="Muy Alta",L197="Catastrófico")),"Extremo",""))))</f>
        <v>Extremo</v>
      </c>
      <c r="O197" s="123">
        <v>1</v>
      </c>
      <c r="P197" s="124" t="s">
        <v>316</v>
      </c>
      <c r="Q197" s="125" t="str">
        <f>IF(OR(R197="Preventivo",R197="Detectivo"),"Probabilidad",IF(R197="Correctivo","Impacto",""))</f>
        <v>Probabilidad</v>
      </c>
      <c r="R197" s="126" t="s">
        <v>13</v>
      </c>
      <c r="S197" s="126" t="s">
        <v>8</v>
      </c>
      <c r="T197" s="127" t="str">
        <f>IF(AND(R197="Preventivo",S197="Automático"),"50%",IF(AND(R197="Preventivo",S197="Manual"),"40%",IF(AND(R197="Detectivo",S197="Automático"),"40%",IF(AND(R197="Detectivo",S197="Manual"),"30%",IF(AND(R197="Correctivo",S197="Automático"),"35%",IF(AND(R197="Correctivo",S197="Manual"),"25%",""))))))</f>
        <v>30%</v>
      </c>
      <c r="U197" s="126" t="s">
        <v>17</v>
      </c>
      <c r="V197" s="126" t="s">
        <v>20</v>
      </c>
      <c r="W197" s="126" t="s">
        <v>117</v>
      </c>
      <c r="X197" s="128">
        <f>IFERROR(IF(Q197="Probabilidad",(I197-(+I197*T197)),IF(Q197="Impacto",I197,"")),"")</f>
        <v>0.7</v>
      </c>
      <c r="Y197" s="129" t="str">
        <f>IFERROR(IF(X197="","",IF(X197&lt;=0.2,"Muy Baja",IF(X197&lt;=0.4,"Baja",IF(X197&lt;=0.6,"Media",IF(X197&lt;=0.8,"Alta","Muy Alta"))))),"")</f>
        <v>Alta</v>
      </c>
      <c r="Z197" s="130">
        <f>+X197</f>
        <v>0.7</v>
      </c>
      <c r="AA197" s="129" t="str">
        <f>IFERROR(IF(AB197="","",IF(AB197&lt;=0.2,"Leve",IF(AB197&lt;=0.4,"Menor",IF(AB197&lt;=0.6,"Moderado",IF(AB197&lt;=0.8,"Mayor","Catastrófico"))))),"")</f>
        <v>Catastrófico</v>
      </c>
      <c r="AB197" s="130">
        <f>IFERROR(IF(Q197="Impacto",(M197-(+M197*T197)),IF(Q197="Probabilidad",M197,"")),"")</f>
        <v>1</v>
      </c>
      <c r="AC197" s="131" t="str">
        <f>IFERROR(IF(OR(AND(Y197="Muy Baja",AA197="Leve"),AND(Y197="Muy Baja",AA197="Menor"),AND(Y197="Baja",AA197="Leve")),"Bajo",IF(OR(AND(Y197="Muy baja",AA197="Moderado"),AND(Y197="Baja",AA197="Menor"),AND(Y197="Baja",AA197="Moderado"),AND(Y197="Media",AA197="Leve"),AND(Y197="Media",AA197="Menor"),AND(Y197="Media",AA197="Moderado"),AND(Y197="Alta",AA197="Leve"),AND(Y197="Alta",AA197="Menor")),"Moderado",IF(OR(AND(Y197="Muy Baja",AA197="Mayor"),AND(Y197="Baja",AA197="Mayor"),AND(Y197="Media",AA197="Mayor"),AND(Y197="Alta",AA197="Moderado"),AND(Y197="Alta",AA197="Mayor"),AND(Y197="Muy Alta",AA197="Leve"),AND(Y197="Muy Alta",AA197="Menor"),AND(Y197="Muy Alta",AA197="Moderado"),AND(Y197="Muy Alta",AA197="Mayor")),"Alto",IF(OR(AND(Y197="Muy Baja",AA197="Catastrófico"),AND(Y197="Baja",AA197="Catastrófico"),AND(Y197="Media",AA197="Catastrófico"),AND(Y197="Alta",AA197="Catastrófico"),AND(Y197="Muy Alta",AA197="Catastrófico")),"Extremo","")))),"")</f>
        <v>Extremo</v>
      </c>
      <c r="AD197" s="132" t="s">
        <v>135</v>
      </c>
      <c r="AE197" s="133"/>
      <c r="AF197" s="134"/>
      <c r="AG197" s="135"/>
      <c r="AH197" s="135"/>
      <c r="AI197" s="133"/>
      <c r="AJ197" s="134"/>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row>
    <row r="198" spans="1:68" ht="151.5" customHeight="1" x14ac:dyDescent="0.15">
      <c r="A198" s="196"/>
      <c r="B198" s="199"/>
      <c r="C198" s="199"/>
      <c r="D198" s="199"/>
      <c r="E198" s="202"/>
      <c r="F198" s="199"/>
      <c r="G198" s="205"/>
      <c r="H198" s="190"/>
      <c r="I198" s="187"/>
      <c r="J198" s="184"/>
      <c r="K198" s="187">
        <f>IF(NOT(ISERROR(MATCH(J198,_xlfn.ANCHORARRAY(E392),0))),I394&amp;"Por favor no seleccionar los criterios de impacto",J198)</f>
        <v>0</v>
      </c>
      <c r="L198" s="190"/>
      <c r="M198" s="187"/>
      <c r="N198" s="193"/>
      <c r="O198" s="123">
        <v>2</v>
      </c>
      <c r="P198" s="124"/>
      <c r="Q198" s="125" t="str">
        <f>IF(OR(R198="Preventivo",R198="Detectivo"),"Probabilidad",IF(R198="Correctivo","Impacto",""))</f>
        <v/>
      </c>
      <c r="R198" s="126"/>
      <c r="S198" s="126"/>
      <c r="T198" s="127" t="str">
        <f t="shared" ref="T198" si="217">IF(AND(R198="Preventivo",S198="Automático"),"50%",IF(AND(R198="Preventivo",S198="Manual"),"40%",IF(AND(R198="Detectivo",S198="Automático"),"40%",IF(AND(R198="Detectivo",S198="Manual"),"30%",IF(AND(R198="Correctivo",S198="Automático"),"35%",IF(AND(R198="Correctivo",S198="Manual"),"25%",""))))))</f>
        <v/>
      </c>
      <c r="U198" s="126"/>
      <c r="V198" s="126"/>
      <c r="W198" s="126"/>
      <c r="X198" s="128" t="str">
        <f>IFERROR(IF(AND(Q197="Probabilidad",Q198="Probabilidad"),(Z197-(+Z197*T198)),IF(Q198="Probabilidad",(I197-(+I197*T198)),IF(Q198="Impacto",Z197,""))),"")</f>
        <v/>
      </c>
      <c r="Y198" s="129" t="str">
        <f>IFERROR(IF(X198="","",IF(X198&lt;=0.2,"Muy Baja",IF(X198&lt;=0.4,"Baja",IF(X198&lt;=0.6,"Media",IF(X198&lt;=0.8,"Alta","Muy Alta"))))),"")</f>
        <v/>
      </c>
      <c r="Z198" s="130" t="str">
        <f>+X198</f>
        <v/>
      </c>
      <c r="AA198" s="129" t="str">
        <f t="shared" ref="AA198:AA201" si="218">IFERROR(IF(AB198="","",IF(AB198&lt;=0.2,"Leve",IF(AB198&lt;=0.4,"Menor",IF(AB198&lt;=0.6,"Moderado",IF(AB198&lt;=0.8,"Mayor","Catastrófico"))))),"")</f>
        <v/>
      </c>
      <c r="AB198" s="130" t="str">
        <f>IFERROR(IF(AND(Q197="Impacto",Q198="Impacto"),(AB197-(+AB197*T198)),IF(Q198="Impacto",(M197-(+M197*T198)),IF(Q198="Probabilidad",AB197,""))),"")</f>
        <v/>
      </c>
      <c r="AC198" s="131" t="str">
        <f t="shared" ref="AC198" si="219">IFERROR(IF(OR(AND(Y198="Muy Baja",AA198="Leve"),AND(Y198="Muy Baja",AA198="Menor"),AND(Y198="Baja",AA198="Leve")),"Bajo",IF(OR(AND(Y198="Muy baja",AA198="Moderado"),AND(Y198="Baja",AA198="Menor"),AND(Y198="Baja",AA198="Moderado"),AND(Y198="Media",AA198="Leve"),AND(Y198="Media",AA198="Menor"),AND(Y198="Media",AA198="Moderado"),AND(Y198="Alta",AA198="Leve"),AND(Y198="Alta",AA198="Menor")),"Moderado",IF(OR(AND(Y198="Muy Baja",AA198="Mayor"),AND(Y198="Baja",AA198="Mayor"),AND(Y198="Media",AA198="Mayor"),AND(Y198="Alta",AA198="Moderado"),AND(Y198="Alta",AA198="Mayor"),AND(Y198="Muy Alta",AA198="Leve"),AND(Y198="Muy Alta",AA198="Menor"),AND(Y198="Muy Alta",AA198="Moderado"),AND(Y198="Muy Alta",AA198="Mayor")),"Alto",IF(OR(AND(Y198="Muy Baja",AA198="Catastrófico"),AND(Y198="Baja",AA198="Catastrófico"),AND(Y198="Media",AA198="Catastrófico"),AND(Y198="Alta",AA198="Catastrófico"),AND(Y198="Muy Alta",AA198="Catastrófico")),"Extremo","")))),"")</f>
        <v/>
      </c>
      <c r="AD198" s="132"/>
      <c r="AE198" s="133"/>
      <c r="AF198" s="134"/>
      <c r="AG198" s="135"/>
      <c r="AH198" s="135"/>
      <c r="AI198" s="133"/>
      <c r="AJ198" s="134"/>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row>
    <row r="199" spans="1:68" ht="151.5" customHeight="1" x14ac:dyDescent="0.15">
      <c r="A199" s="196"/>
      <c r="B199" s="199"/>
      <c r="C199" s="199"/>
      <c r="D199" s="199"/>
      <c r="E199" s="202"/>
      <c r="F199" s="199"/>
      <c r="G199" s="205"/>
      <c r="H199" s="190"/>
      <c r="I199" s="187"/>
      <c r="J199" s="184"/>
      <c r="K199" s="187">
        <f>IF(NOT(ISERROR(MATCH(J199,_xlfn.ANCHORARRAY(E393),0))),I395&amp;"Por favor no seleccionar los criterios de impacto",J199)</f>
        <v>0</v>
      </c>
      <c r="L199" s="190"/>
      <c r="M199" s="187"/>
      <c r="N199" s="193"/>
      <c r="O199" s="123">
        <v>3</v>
      </c>
      <c r="P199" s="124"/>
      <c r="Q199" s="125" t="str">
        <f>IF(OR(R199="Preventivo",R199="Detectivo"),"Probabilidad",IF(R199="Correctivo","Impacto",""))</f>
        <v/>
      </c>
      <c r="R199" s="126"/>
      <c r="S199" s="126"/>
      <c r="T199" s="127" t="str">
        <f>IF(AND(R199="Preventivo",S199="Automático"),"50%",IF(AND(R199="Preventivo",S199="Manual"),"40%",IF(AND(R199="Detectivo",S199="Automático"),"40%",IF(AND(R199="Detectivo",S199="Manual"),"30%",IF(AND(R199="Correctivo",S199="Automático"),"35%",IF(AND(R199="Correctivo",S199="Manual"),"25%",""))))))</f>
        <v/>
      </c>
      <c r="U199" s="126"/>
      <c r="V199" s="126"/>
      <c r="W199" s="126"/>
      <c r="X199" s="128" t="str">
        <f>IFERROR(IF(AND(Q198="Probabilidad",Q199="Probabilidad"),(Z198-(+Z198*T199)),IF(AND(Q198="Impacto",Q199="Probabilidad"),(Z197-(+Z197*T199)),IF(Q199="Impacto",Z198,""))),"")</f>
        <v/>
      </c>
      <c r="Y199" s="129" t="str">
        <f>IFERROR(IF(X199="","",IF(X199&lt;=0.2,"Muy Baja",IF(X199&lt;=0.4,"Baja",IF(X199&lt;=0.6,"Media",IF(X199&lt;=0.8,"Alta","Muy Alta"))))),"")</f>
        <v/>
      </c>
      <c r="Z199" s="130" t="str">
        <f>+X199</f>
        <v/>
      </c>
      <c r="AA199" s="129" t="str">
        <f t="shared" si="218"/>
        <v/>
      </c>
      <c r="AB199" s="130" t="str">
        <f>IFERROR(IF(AND(Q198="Impacto",Q199="Impacto"),(AB198-(+AB198*T199)),IF(AND(Q198="Probabilidad",Q199="Impacto"),(AB197-(+AB197*T199)),IF(Q199="Probabilidad",AB198,""))),"")</f>
        <v/>
      </c>
      <c r="AC199" s="131" t="str">
        <f>IFERROR(IF(OR(AND(Y199="Muy Baja",AA199="Leve"),AND(Y199="Muy Baja",AA199="Menor"),AND(Y199="Baja",AA199="Leve")),"Bajo",IF(OR(AND(Y199="Muy baja",AA199="Moderado"),AND(Y199="Baja",AA199="Menor"),AND(Y199="Baja",AA199="Moderado"),AND(Y199="Media",AA199="Leve"),AND(Y199="Media",AA199="Menor"),AND(Y199="Media",AA199="Moderado"),AND(Y199="Alta",AA199="Leve"),AND(Y199="Alta",AA199="Menor")),"Moderado",IF(OR(AND(Y199="Muy Baja",AA199="Mayor"),AND(Y199="Baja",AA199="Mayor"),AND(Y199="Media",AA199="Mayor"),AND(Y199="Alta",AA199="Moderado"),AND(Y199="Alta",AA199="Mayor"),AND(Y199="Muy Alta",AA199="Leve"),AND(Y199="Muy Alta",AA199="Menor"),AND(Y199="Muy Alta",AA199="Moderado"),AND(Y199="Muy Alta",AA199="Mayor")),"Alto",IF(OR(AND(Y199="Muy Baja",AA199="Catastrófico"),AND(Y199="Baja",AA199="Catastrófico"),AND(Y199="Media",AA199="Catastrófico"),AND(Y199="Alta",AA199="Catastrófico"),AND(Y199="Muy Alta",AA199="Catastrófico")),"Extremo","")))),"")</f>
        <v/>
      </c>
      <c r="AD199" s="132"/>
      <c r="AE199" s="133"/>
      <c r="AF199" s="134"/>
      <c r="AG199" s="135"/>
      <c r="AH199" s="135"/>
      <c r="AI199" s="133"/>
      <c r="AJ199" s="134"/>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row>
    <row r="200" spans="1:68" ht="151.5" customHeight="1" x14ac:dyDescent="0.15">
      <c r="A200" s="196"/>
      <c r="B200" s="199"/>
      <c r="C200" s="199"/>
      <c r="D200" s="199"/>
      <c r="E200" s="202"/>
      <c r="F200" s="199"/>
      <c r="G200" s="205"/>
      <c r="H200" s="190"/>
      <c r="I200" s="187"/>
      <c r="J200" s="184"/>
      <c r="K200" s="187">
        <f>IF(NOT(ISERROR(MATCH(J200,_xlfn.ANCHORARRAY(E394),0))),I396&amp;"Por favor no seleccionar los criterios de impacto",J200)</f>
        <v>0</v>
      </c>
      <c r="L200" s="190"/>
      <c r="M200" s="187"/>
      <c r="N200" s="193"/>
      <c r="O200" s="123">
        <v>4</v>
      </c>
      <c r="P200" s="124"/>
      <c r="Q200" s="125" t="str">
        <f t="shared" ref="Q200:Q201" si="220">IF(OR(R200="Preventivo",R200="Detectivo"),"Probabilidad",IF(R200="Correctivo","Impacto",""))</f>
        <v/>
      </c>
      <c r="R200" s="126"/>
      <c r="S200" s="126"/>
      <c r="T200" s="127" t="str">
        <f t="shared" ref="T200:T201" si="221">IF(AND(R200="Preventivo",S200="Automático"),"50%",IF(AND(R200="Preventivo",S200="Manual"),"40%",IF(AND(R200="Detectivo",S200="Automático"),"40%",IF(AND(R200="Detectivo",S200="Manual"),"30%",IF(AND(R200="Correctivo",S200="Automático"),"35%",IF(AND(R200="Correctivo",S200="Manual"),"25%",""))))))</f>
        <v/>
      </c>
      <c r="U200" s="126"/>
      <c r="V200" s="126"/>
      <c r="W200" s="126"/>
      <c r="X200" s="128" t="str">
        <f t="shared" ref="X200:X201" si="222">IFERROR(IF(AND(Q199="Probabilidad",Q200="Probabilidad"),(Z199-(+Z199*T200)),IF(AND(Q199="Impacto",Q200="Probabilidad"),(Z198-(+Z198*T200)),IF(Q200="Impacto",Z199,""))),"")</f>
        <v/>
      </c>
      <c r="Y200" s="129" t="str">
        <f t="shared" ref="Y200:Y201" si="223">IFERROR(IF(X200="","",IF(X200&lt;=0.2,"Muy Baja",IF(X200&lt;=0.4,"Baja",IF(X200&lt;=0.6,"Media",IF(X200&lt;=0.8,"Alta","Muy Alta"))))),"")</f>
        <v/>
      </c>
      <c r="Z200" s="130" t="str">
        <f t="shared" ref="Z200:Z201" si="224">+X200</f>
        <v/>
      </c>
      <c r="AA200" s="129" t="str">
        <f t="shared" si="218"/>
        <v/>
      </c>
      <c r="AB200" s="130" t="str">
        <f t="shared" ref="AB200:AB201" si="225">IFERROR(IF(AND(Q199="Impacto",Q200="Impacto"),(AB199-(+AB199*T200)),IF(AND(Q199="Probabilidad",Q200="Impacto"),(AB198-(+AB198*T200)),IF(Q200="Probabilidad",AB199,""))),"")</f>
        <v/>
      </c>
      <c r="AC200" s="131" t="str">
        <f t="shared" ref="AC200:AC201" si="226">IFERROR(IF(OR(AND(Y200="Muy Baja",AA200="Leve"),AND(Y200="Muy Baja",AA200="Menor"),AND(Y200="Baja",AA200="Leve")),"Bajo",IF(OR(AND(Y200="Muy baja",AA200="Moderado"),AND(Y200="Baja",AA200="Menor"),AND(Y200="Baja",AA200="Moderado"),AND(Y200="Media",AA200="Leve"),AND(Y200="Media",AA200="Menor"),AND(Y200="Media",AA200="Moderado"),AND(Y200="Alta",AA200="Leve"),AND(Y200="Alta",AA200="Menor")),"Moderado",IF(OR(AND(Y200="Muy Baja",AA200="Mayor"),AND(Y200="Baja",AA200="Mayor"),AND(Y200="Media",AA200="Mayor"),AND(Y200="Alta",AA200="Moderado"),AND(Y200="Alta",AA200="Mayor"),AND(Y200="Muy Alta",AA200="Leve"),AND(Y200="Muy Alta",AA200="Menor"),AND(Y200="Muy Alta",AA200="Moderado"),AND(Y200="Muy Alta",AA200="Mayor")),"Alto",IF(OR(AND(Y200="Muy Baja",AA200="Catastrófico"),AND(Y200="Baja",AA200="Catastrófico"),AND(Y200="Media",AA200="Catastrófico"),AND(Y200="Alta",AA200="Catastrófico"),AND(Y200="Muy Alta",AA200="Catastrófico")),"Extremo","")))),"")</f>
        <v/>
      </c>
      <c r="AD200" s="132"/>
      <c r="AE200" s="133"/>
      <c r="AF200" s="134"/>
      <c r="AG200" s="135"/>
      <c r="AH200" s="135"/>
      <c r="AI200" s="133"/>
      <c r="AJ200" s="134"/>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row>
    <row r="201" spans="1:68" ht="151.5" customHeight="1" x14ac:dyDescent="0.15">
      <c r="A201" s="196"/>
      <c r="B201" s="199"/>
      <c r="C201" s="199"/>
      <c r="D201" s="199"/>
      <c r="E201" s="202"/>
      <c r="F201" s="199"/>
      <c r="G201" s="205"/>
      <c r="H201" s="190"/>
      <c r="I201" s="187"/>
      <c r="J201" s="184"/>
      <c r="K201" s="187">
        <f>IF(NOT(ISERROR(MATCH(J201,_xlfn.ANCHORARRAY(E395),0))),I397&amp;"Por favor no seleccionar los criterios de impacto",J201)</f>
        <v>0</v>
      </c>
      <c r="L201" s="190"/>
      <c r="M201" s="187"/>
      <c r="N201" s="193"/>
      <c r="O201" s="123">
        <v>5</v>
      </c>
      <c r="P201" s="124"/>
      <c r="Q201" s="125" t="str">
        <f t="shared" si="220"/>
        <v/>
      </c>
      <c r="R201" s="126"/>
      <c r="S201" s="126"/>
      <c r="T201" s="127" t="str">
        <f t="shared" si="221"/>
        <v/>
      </c>
      <c r="U201" s="126"/>
      <c r="V201" s="126"/>
      <c r="W201" s="126"/>
      <c r="X201" s="128" t="str">
        <f t="shared" si="222"/>
        <v/>
      </c>
      <c r="Y201" s="129" t="str">
        <f t="shared" si="223"/>
        <v/>
      </c>
      <c r="Z201" s="130" t="str">
        <f t="shared" si="224"/>
        <v/>
      </c>
      <c r="AA201" s="129" t="str">
        <f t="shared" si="218"/>
        <v/>
      </c>
      <c r="AB201" s="130" t="str">
        <f t="shared" si="225"/>
        <v/>
      </c>
      <c r="AC201" s="131" t="str">
        <f t="shared" si="226"/>
        <v/>
      </c>
      <c r="AD201" s="132"/>
      <c r="AE201" s="133"/>
      <c r="AF201" s="134"/>
      <c r="AG201" s="135"/>
      <c r="AH201" s="135"/>
      <c r="AI201" s="133"/>
      <c r="AJ201" s="134"/>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row>
    <row r="202" spans="1:68" ht="151.5" customHeight="1" x14ac:dyDescent="0.15">
      <c r="A202" s="197"/>
      <c r="B202" s="200"/>
      <c r="C202" s="200"/>
      <c r="D202" s="200"/>
      <c r="E202" s="203"/>
      <c r="F202" s="200"/>
      <c r="G202" s="206"/>
      <c r="H202" s="191"/>
      <c r="I202" s="188"/>
      <c r="J202" s="185"/>
      <c r="K202" s="188">
        <f>IF(NOT(ISERROR(MATCH(J202,_xlfn.ANCHORARRAY(E396),0))),I398&amp;"Por favor no seleccionar los criterios de impacto",J202)</f>
        <v>0</v>
      </c>
      <c r="L202" s="191"/>
      <c r="M202" s="188"/>
      <c r="N202" s="194"/>
      <c r="O202" s="123"/>
      <c r="P202" s="124"/>
      <c r="Q202" s="125"/>
      <c r="R202" s="126"/>
      <c r="S202" s="126"/>
      <c r="T202" s="127"/>
      <c r="U202" s="126"/>
      <c r="V202" s="126"/>
      <c r="W202" s="126"/>
      <c r="X202" s="128"/>
      <c r="Y202" s="129"/>
      <c r="Z202" s="130"/>
      <c r="AA202" s="129"/>
      <c r="AB202" s="130"/>
      <c r="AC202" s="131"/>
      <c r="AD202" s="132"/>
      <c r="AE202" s="133"/>
      <c r="AF202" s="134"/>
      <c r="AG202" s="135"/>
      <c r="AH202" s="135"/>
      <c r="AI202" s="133"/>
      <c r="AJ202" s="134"/>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row>
    <row r="203" spans="1:68" ht="151.5" customHeight="1" x14ac:dyDescent="0.15">
      <c r="A203" s="195">
        <f>+A197+1</f>
        <v>33</v>
      </c>
      <c r="B203" s="198" t="s">
        <v>131</v>
      </c>
      <c r="C203" s="198" t="s">
        <v>318</v>
      </c>
      <c r="D203" s="198"/>
      <c r="E203" s="201" t="s">
        <v>317</v>
      </c>
      <c r="F203" s="198"/>
      <c r="G203" s="204">
        <v>6000</v>
      </c>
      <c r="H203" s="189" t="str">
        <f>IF(G203&lt;=0,"",IF(G203&lt;=2,"Muy Baja",IF(G203&lt;=24,"Baja",IF(G203&lt;=500,"Media",IF(G203&lt;=5000,"Alta","Muy Alta")))))</f>
        <v>Muy Alta</v>
      </c>
      <c r="I203" s="186">
        <f>IF(H203="","",IF(H203="Muy Baja",0.2,IF(H203="Baja",0.4,IF(H203="Media",0.6,IF(H203="Alta",0.8,IF(H203="Muy Alta",1,))))))</f>
        <v>1</v>
      </c>
      <c r="J203" s="183" t="s">
        <v>150</v>
      </c>
      <c r="K203" s="186" t="str">
        <f>IF(NOT(ISERROR(MATCH(J203,'Tabla Impacto'!$B$221:$B$223,0))),'Tabla Impacto'!$F$223&amp;"Por favor no seleccionar los criterios de impacto(Afectación Económica o presupuestal y Pérdida Reputacional)",J203)</f>
        <v xml:space="preserve">     Mayor a 500 SMLMV </v>
      </c>
      <c r="L203" s="189" t="str">
        <f>IF(OR(K203='Tabla Impacto'!$C$11,K203='Tabla Impacto'!$D$11),"Leve",IF(OR(K203='Tabla Impacto'!$C$12,K203='Tabla Impacto'!$D$12),"Menor",IF(OR(K203='Tabla Impacto'!$C$13,K203='Tabla Impacto'!$D$13),"Moderado",IF(OR(K203='Tabla Impacto'!$C$14,K203='Tabla Impacto'!$D$14),"Mayor",IF(OR(K203='Tabla Impacto'!$C$15,K203='Tabla Impacto'!$D$15),"Catastrófico","")))))</f>
        <v>Catastrófico</v>
      </c>
      <c r="M203" s="186">
        <f>IF(L203="","",IF(L203="Leve",0.2,IF(L203="Menor",0.4,IF(L203="Moderado",0.6,IF(L203="Mayor",0.8,IF(L203="Catastrófico",1,))))))</f>
        <v>1</v>
      </c>
      <c r="N203" s="192" t="str">
        <f>IF(OR(AND(H203="Muy Baja",L203="Leve"),AND(H203="Muy Baja",L203="Menor"),AND(H203="Baja",L203="Leve")),"Bajo",IF(OR(AND(H203="Muy baja",L203="Moderado"),AND(H203="Baja",L203="Menor"),AND(H203="Baja",L203="Moderado"),AND(H203="Media",L203="Leve"),AND(H203="Media",L203="Menor"),AND(H203="Media",L203="Moderado"),AND(H203="Alta",L203="Leve"),AND(H203="Alta",L203="Menor")),"Moderado",IF(OR(AND(H203="Muy Baja",L203="Mayor"),AND(H203="Baja",L203="Mayor"),AND(H203="Media",L203="Mayor"),AND(H203="Alta",L203="Moderado"),AND(H203="Alta",L203="Mayor"),AND(H203="Muy Alta",L203="Leve"),AND(H203="Muy Alta",L203="Menor"),AND(H203="Muy Alta",L203="Moderado"),AND(H203="Muy Alta",L203="Mayor")),"Alto",IF(OR(AND(H203="Muy Baja",L203="Catastrófico"),AND(H203="Baja",L203="Catastrófico"),AND(H203="Media",L203="Catastrófico"),AND(H203="Alta",L203="Catastrófico"),AND(H203="Muy Alta",L203="Catastrófico")),"Extremo",""))))</f>
        <v>Extremo</v>
      </c>
      <c r="O203" s="123">
        <v>1</v>
      </c>
      <c r="P203" s="124" t="s">
        <v>319</v>
      </c>
      <c r="Q203" s="125" t="str">
        <f>IF(OR(R203="Preventivo",R203="Detectivo"),"Probabilidad",IF(R203="Correctivo","Impacto",""))</f>
        <v>Probabilidad</v>
      </c>
      <c r="R203" s="126" t="s">
        <v>12</v>
      </c>
      <c r="S203" s="126" t="s">
        <v>8</v>
      </c>
      <c r="T203" s="127" t="str">
        <f>IF(AND(R203="Preventivo",S203="Automático"),"50%",IF(AND(R203="Preventivo",S203="Manual"),"40%",IF(AND(R203="Detectivo",S203="Automático"),"40%",IF(AND(R203="Detectivo",S203="Manual"),"30%",IF(AND(R203="Correctivo",S203="Automático"),"35%",IF(AND(R203="Correctivo",S203="Manual"),"25%",""))))))</f>
        <v>40%</v>
      </c>
      <c r="U203" s="126" t="s">
        <v>17</v>
      </c>
      <c r="V203" s="126" t="s">
        <v>20</v>
      </c>
      <c r="W203" s="126" t="s">
        <v>117</v>
      </c>
      <c r="X203" s="128">
        <f>IFERROR(IF(Q203="Probabilidad",(I203-(+I203*T203)),IF(Q203="Impacto",I203,"")),"")</f>
        <v>0.6</v>
      </c>
      <c r="Y203" s="129" t="str">
        <f>IFERROR(IF(X203="","",IF(X203&lt;=0.2,"Muy Baja",IF(X203&lt;=0.4,"Baja",IF(X203&lt;=0.6,"Media",IF(X203&lt;=0.8,"Alta","Muy Alta"))))),"")</f>
        <v>Media</v>
      </c>
      <c r="Z203" s="130">
        <f>+X203</f>
        <v>0.6</v>
      </c>
      <c r="AA203" s="129" t="str">
        <f>IFERROR(IF(AB203="","",IF(AB203&lt;=0.2,"Leve",IF(AB203&lt;=0.4,"Menor",IF(AB203&lt;=0.6,"Moderado",IF(AB203&lt;=0.8,"Mayor","Catastrófico"))))),"")</f>
        <v>Catastrófico</v>
      </c>
      <c r="AB203" s="130">
        <f>IFERROR(IF(Q203="Impacto",(M203-(+M203*T203)),IF(Q203="Probabilidad",M203,"")),"")</f>
        <v>1</v>
      </c>
      <c r="AC203" s="131" t="str">
        <f>IFERROR(IF(OR(AND(Y203="Muy Baja",AA203="Leve"),AND(Y203="Muy Baja",AA203="Menor"),AND(Y203="Baja",AA203="Leve")),"Bajo",IF(OR(AND(Y203="Muy baja",AA203="Moderado"),AND(Y203="Baja",AA203="Menor"),AND(Y203="Baja",AA203="Moderado"),AND(Y203="Media",AA203="Leve"),AND(Y203="Media",AA203="Menor"),AND(Y203="Media",AA203="Moderado"),AND(Y203="Alta",AA203="Leve"),AND(Y203="Alta",AA203="Menor")),"Moderado",IF(OR(AND(Y203="Muy Baja",AA203="Mayor"),AND(Y203="Baja",AA203="Mayor"),AND(Y203="Media",AA203="Mayor"),AND(Y203="Alta",AA203="Moderado"),AND(Y203="Alta",AA203="Mayor"),AND(Y203="Muy Alta",AA203="Leve"),AND(Y203="Muy Alta",AA203="Menor"),AND(Y203="Muy Alta",AA203="Moderado"),AND(Y203="Muy Alta",AA203="Mayor")),"Alto",IF(OR(AND(Y203="Muy Baja",AA203="Catastrófico"),AND(Y203="Baja",AA203="Catastrófico"),AND(Y203="Media",AA203="Catastrófico"),AND(Y203="Alta",AA203="Catastrófico"),AND(Y203="Muy Alta",AA203="Catastrófico")),"Extremo","")))),"")</f>
        <v>Extremo</v>
      </c>
      <c r="AD203" s="132" t="s">
        <v>134</v>
      </c>
      <c r="AE203" s="133"/>
      <c r="AF203" s="134"/>
      <c r="AG203" s="135"/>
      <c r="AH203" s="135"/>
      <c r="AI203" s="133"/>
      <c r="AJ203" s="134"/>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row>
    <row r="204" spans="1:68" ht="151.5" customHeight="1" x14ac:dyDescent="0.15">
      <c r="A204" s="196"/>
      <c r="B204" s="199"/>
      <c r="C204" s="199"/>
      <c r="D204" s="199"/>
      <c r="E204" s="202"/>
      <c r="F204" s="199"/>
      <c r="G204" s="205"/>
      <c r="H204" s="190"/>
      <c r="I204" s="187"/>
      <c r="J204" s="184"/>
      <c r="K204" s="187">
        <f>IF(NOT(ISERROR(MATCH(J204,_xlfn.ANCHORARRAY(E392),0))),I394&amp;"Por favor no seleccionar los criterios de impacto",J204)</f>
        <v>0</v>
      </c>
      <c r="L204" s="190"/>
      <c r="M204" s="187"/>
      <c r="N204" s="193"/>
      <c r="O204" s="123">
        <v>2</v>
      </c>
      <c r="P204" s="124" t="s">
        <v>320</v>
      </c>
      <c r="Q204" s="125" t="str">
        <f>IF(OR(R204="Preventivo",R204="Detectivo"),"Probabilidad",IF(R204="Correctivo","Impacto",""))</f>
        <v>Probabilidad</v>
      </c>
      <c r="R204" s="126" t="s">
        <v>12</v>
      </c>
      <c r="S204" s="126" t="s">
        <v>8</v>
      </c>
      <c r="T204" s="127" t="str">
        <f t="shared" ref="T204:T205" si="227">IF(AND(R204="Preventivo",S204="Automático"),"50%",IF(AND(R204="Preventivo",S204="Manual"),"40%",IF(AND(R204="Detectivo",S204="Automático"),"40%",IF(AND(R204="Detectivo",S204="Manual"),"30%",IF(AND(R204="Correctivo",S204="Automático"),"35%",IF(AND(R204="Correctivo",S204="Manual"),"25%",""))))))</f>
        <v>40%</v>
      </c>
      <c r="U204" s="126" t="s">
        <v>17</v>
      </c>
      <c r="V204" s="126" t="s">
        <v>20</v>
      </c>
      <c r="W204" s="126" t="s">
        <v>117</v>
      </c>
      <c r="X204" s="128">
        <f>IFERROR(IF(AND(Q203="Probabilidad",Q204="Probabilidad"),(Z203-(+Z203*T204)),IF(Q204="Probabilidad",(I203-(+I203*T204)),IF(Q204="Impacto",Z203,""))),"")</f>
        <v>0.36</v>
      </c>
      <c r="Y204" s="129" t="str">
        <f>IFERROR(IF(X204="","",IF(X204&lt;=0.2,"Muy Baja",IF(X204&lt;=0.4,"Baja",IF(X204&lt;=0.6,"Media",IF(X204&lt;=0.8,"Alta","Muy Alta"))))),"")</f>
        <v>Baja</v>
      </c>
      <c r="Z204" s="130">
        <f>+X204</f>
        <v>0.36</v>
      </c>
      <c r="AA204" s="129" t="str">
        <f t="shared" ref="AA204:AA205" si="228">IFERROR(IF(AB204="","",IF(AB204&lt;=0.2,"Leve",IF(AB204&lt;=0.4,"Menor",IF(AB204&lt;=0.6,"Moderado",IF(AB204&lt;=0.8,"Mayor","Catastrófico"))))),"")</f>
        <v>Catastrófico</v>
      </c>
      <c r="AB204" s="130">
        <f>IFERROR(IF(AND(Q203="Impacto",Q204="Impacto"),(AB203-(+AB203*T204)),IF(Q204="Impacto",(M203-(+M203*T204)),IF(Q204="Probabilidad",AB203,""))),"")</f>
        <v>1</v>
      </c>
      <c r="AC204" s="131" t="str">
        <f t="shared" ref="AC204:AC205" si="229">IFERROR(IF(OR(AND(Y204="Muy Baja",AA204="Leve"),AND(Y204="Muy Baja",AA204="Menor"),AND(Y204="Baja",AA204="Leve")),"Bajo",IF(OR(AND(Y204="Muy baja",AA204="Moderado"),AND(Y204="Baja",AA204="Menor"),AND(Y204="Baja",AA204="Moderado"),AND(Y204="Media",AA204="Leve"),AND(Y204="Media",AA204="Menor"),AND(Y204="Media",AA204="Moderado"),AND(Y204="Alta",AA204="Leve"),AND(Y204="Alta",AA204="Menor")),"Moderado",IF(OR(AND(Y204="Muy Baja",AA204="Mayor"),AND(Y204="Baja",AA204="Mayor"),AND(Y204="Media",AA204="Mayor"),AND(Y204="Alta",AA204="Moderado"),AND(Y204="Alta",AA204="Mayor"),AND(Y204="Muy Alta",AA204="Leve"),AND(Y204="Muy Alta",AA204="Menor"),AND(Y204="Muy Alta",AA204="Moderado"),AND(Y204="Muy Alta",AA204="Mayor")),"Alto",IF(OR(AND(Y204="Muy Baja",AA204="Catastrófico"),AND(Y204="Baja",AA204="Catastrófico"),AND(Y204="Media",AA204="Catastrófico"),AND(Y204="Alta",AA204="Catastrófico"),AND(Y204="Muy Alta",AA204="Catastrófico")),"Extremo","")))),"")</f>
        <v>Extremo</v>
      </c>
      <c r="AD204" s="132" t="s">
        <v>134</v>
      </c>
      <c r="AE204" s="133"/>
      <c r="AF204" s="134"/>
      <c r="AG204" s="135"/>
      <c r="AH204" s="135"/>
      <c r="AI204" s="133"/>
      <c r="AJ204" s="134"/>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row>
    <row r="205" spans="1:68" ht="151.5" customHeight="1" x14ac:dyDescent="0.15">
      <c r="A205" s="196"/>
      <c r="B205" s="199"/>
      <c r="C205" s="199"/>
      <c r="D205" s="199"/>
      <c r="E205" s="202"/>
      <c r="F205" s="199"/>
      <c r="G205" s="205"/>
      <c r="H205" s="190"/>
      <c r="I205" s="187"/>
      <c r="J205" s="184"/>
      <c r="K205" s="187">
        <f>IF(NOT(ISERROR(MATCH(J205,_xlfn.ANCHORARRAY(E393),0))),I395&amp;"Por favor no seleccionar los criterios de impacto",J205)</f>
        <v>0</v>
      </c>
      <c r="L205" s="190"/>
      <c r="M205" s="187"/>
      <c r="N205" s="193"/>
      <c r="O205" s="123">
        <v>3</v>
      </c>
      <c r="P205" s="124" t="s">
        <v>321</v>
      </c>
      <c r="Q205" s="125" t="str">
        <f>IF(OR(R205="Preventivo",R205="Detectivo"),"Probabilidad",IF(R205="Correctivo","Impacto",""))</f>
        <v/>
      </c>
      <c r="R205" s="126"/>
      <c r="S205" s="126"/>
      <c r="T205" s="127" t="str">
        <f t="shared" si="227"/>
        <v/>
      </c>
      <c r="U205" s="126"/>
      <c r="V205" s="126"/>
      <c r="W205" s="126"/>
      <c r="X205" s="128" t="str">
        <f>IFERROR(IF(AND(Q204="Probabilidad",Q205="Probabilidad"),(Z204-(+Z204*T205)),IF(AND(Q204="Impacto",Q205="Probabilidad"),(Z203-(+Z203*T205)),IF(Q205="Impacto",Z204,""))),"")</f>
        <v/>
      </c>
      <c r="Y205" s="129" t="str">
        <f>IFERROR(IF(X205="","",IF(X205&lt;=0.2,"Muy Baja",IF(X205&lt;=0.4,"Baja",IF(X205&lt;=0.6,"Media",IF(X205&lt;=0.8,"Alta","Muy Alta"))))),"")</f>
        <v/>
      </c>
      <c r="Z205" s="130" t="str">
        <f>+X205</f>
        <v/>
      </c>
      <c r="AA205" s="129" t="str">
        <f t="shared" si="228"/>
        <v/>
      </c>
      <c r="AB205" s="130" t="str">
        <f>IFERROR(IF(AND(Q204="Impacto",Q205="Impacto"),(AB204-(+AB204*T205)),IF(Q205="Impacto",(M204-(+M204*T205)),IF(Q205="Probabilidad",AB204,""))),"")</f>
        <v/>
      </c>
      <c r="AC205" s="131" t="str">
        <f t="shared" si="229"/>
        <v/>
      </c>
      <c r="AD205" s="132"/>
      <c r="AE205" s="133"/>
      <c r="AF205" s="134"/>
      <c r="AG205" s="135"/>
      <c r="AH205" s="135"/>
      <c r="AI205" s="133"/>
      <c r="AJ205" s="134"/>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row>
    <row r="206" spans="1:68" ht="151.5" customHeight="1" x14ac:dyDescent="0.15">
      <c r="A206" s="196"/>
      <c r="B206" s="199"/>
      <c r="C206" s="199"/>
      <c r="D206" s="199"/>
      <c r="E206" s="202"/>
      <c r="F206" s="199"/>
      <c r="G206" s="205"/>
      <c r="H206" s="190"/>
      <c r="I206" s="187"/>
      <c r="J206" s="184"/>
      <c r="K206" s="187">
        <f>IF(NOT(ISERROR(MATCH(J206,_xlfn.ANCHORARRAY(E394),0))),I396&amp;"Por favor no seleccionar los criterios de impacto",J206)</f>
        <v>0</v>
      </c>
      <c r="L206" s="190"/>
      <c r="M206" s="187"/>
      <c r="N206" s="193"/>
      <c r="O206" s="123"/>
      <c r="P206" s="124"/>
      <c r="Q206" s="125"/>
      <c r="R206" s="126"/>
      <c r="S206" s="126"/>
      <c r="T206" s="127"/>
      <c r="U206" s="126"/>
      <c r="V206" s="126"/>
      <c r="W206" s="126"/>
      <c r="X206" s="128"/>
      <c r="Y206" s="129"/>
      <c r="Z206" s="130"/>
      <c r="AA206" s="129"/>
      <c r="AB206" s="130"/>
      <c r="AC206" s="131"/>
      <c r="AD206" s="132"/>
      <c r="AE206" s="133"/>
      <c r="AF206" s="134"/>
      <c r="AG206" s="135"/>
      <c r="AH206" s="135"/>
      <c r="AI206" s="133"/>
      <c r="AJ206" s="134"/>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row>
    <row r="207" spans="1:68" ht="151.5" customHeight="1" x14ac:dyDescent="0.15">
      <c r="A207" s="196"/>
      <c r="B207" s="199"/>
      <c r="C207" s="199"/>
      <c r="D207" s="199"/>
      <c r="E207" s="202"/>
      <c r="F207" s="199"/>
      <c r="G207" s="205"/>
      <c r="H207" s="190"/>
      <c r="I207" s="187"/>
      <c r="J207" s="184"/>
      <c r="K207" s="187">
        <f>IF(NOT(ISERROR(MATCH(J207,_xlfn.ANCHORARRAY(E395),0))),I397&amp;"Por favor no seleccionar los criterios de impacto",J207)</f>
        <v>0</v>
      </c>
      <c r="L207" s="190"/>
      <c r="M207" s="187"/>
      <c r="N207" s="193"/>
      <c r="O207" s="123"/>
      <c r="P207" s="124"/>
      <c r="Q207" s="125"/>
      <c r="R207" s="126"/>
      <c r="S207" s="126"/>
      <c r="T207" s="127"/>
      <c r="U207" s="126"/>
      <c r="V207" s="126"/>
      <c r="W207" s="126"/>
      <c r="X207" s="128"/>
      <c r="Y207" s="129"/>
      <c r="Z207" s="130"/>
      <c r="AA207" s="129"/>
      <c r="AB207" s="130"/>
      <c r="AC207" s="131"/>
      <c r="AD207" s="132"/>
      <c r="AE207" s="133"/>
      <c r="AF207" s="134"/>
      <c r="AG207" s="135"/>
      <c r="AH207" s="135"/>
      <c r="AI207" s="133"/>
      <c r="AJ207" s="134"/>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row>
    <row r="208" spans="1:68" ht="151.5" customHeight="1" x14ac:dyDescent="0.15">
      <c r="A208" s="197"/>
      <c r="B208" s="200"/>
      <c r="C208" s="200"/>
      <c r="D208" s="200"/>
      <c r="E208" s="203"/>
      <c r="F208" s="200"/>
      <c r="G208" s="206"/>
      <c r="H208" s="191"/>
      <c r="I208" s="188"/>
      <c r="J208" s="185"/>
      <c r="K208" s="188">
        <f>IF(NOT(ISERROR(MATCH(J208,_xlfn.ANCHORARRAY(E396),0))),I398&amp;"Por favor no seleccionar los criterios de impacto",J208)</f>
        <v>0</v>
      </c>
      <c r="L208" s="191"/>
      <c r="M208" s="188"/>
      <c r="N208" s="194"/>
      <c r="O208" s="123"/>
      <c r="P208" s="124"/>
      <c r="Q208" s="125"/>
      <c r="R208" s="126"/>
      <c r="S208" s="126"/>
      <c r="T208" s="127"/>
      <c r="U208" s="126"/>
      <c r="V208" s="126"/>
      <c r="W208" s="126"/>
      <c r="X208" s="128"/>
      <c r="Y208" s="129"/>
      <c r="Z208" s="130"/>
      <c r="AA208" s="129"/>
      <c r="AB208" s="130"/>
      <c r="AC208" s="131"/>
      <c r="AD208" s="132"/>
      <c r="AE208" s="133"/>
      <c r="AF208" s="134"/>
      <c r="AG208" s="135"/>
      <c r="AH208" s="135"/>
      <c r="AI208" s="133"/>
      <c r="AJ208" s="134"/>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row>
    <row r="209" spans="1:68" ht="151.5" customHeight="1" x14ac:dyDescent="0.15">
      <c r="A209" s="195">
        <f>+A203+1</f>
        <v>34</v>
      </c>
      <c r="B209" s="198" t="s">
        <v>131</v>
      </c>
      <c r="C209" s="198" t="s">
        <v>323</v>
      </c>
      <c r="D209" s="198"/>
      <c r="E209" s="201" t="s">
        <v>322</v>
      </c>
      <c r="F209" s="198"/>
      <c r="G209" s="204">
        <v>500</v>
      </c>
      <c r="H209" s="189" t="str">
        <f>IF(G209&lt;=0,"",IF(G209&lt;=2,"Muy Baja",IF(G209&lt;=24,"Baja",IF(G209&lt;=500,"Media",IF(G209&lt;=5000,"Alta","Muy Alta")))))</f>
        <v>Media</v>
      </c>
      <c r="I209" s="186">
        <f>IF(H209="","",IF(H209="Muy Baja",0.2,IF(H209="Baja",0.4,IF(H209="Media",0.6,IF(H209="Alta",0.8,IF(H209="Muy Alta",1,))))))</f>
        <v>0.6</v>
      </c>
      <c r="J209" s="183" t="s">
        <v>149</v>
      </c>
      <c r="K209" s="186" t="str">
        <f>IF(NOT(ISERROR(MATCH(J209,'Tabla Impacto'!$B$221:$B$223,0))),'Tabla Impacto'!$F$223&amp;"Por favor no seleccionar los criterios de impacto(Afectación Económica o presupuestal y Pérdida Reputacional)",J209)</f>
        <v xml:space="preserve">     Entre 100 y 500 SMLMV </v>
      </c>
      <c r="L209" s="189" t="str">
        <f>IF(OR(K209='Tabla Impacto'!$C$11,K209='Tabla Impacto'!$D$11),"Leve",IF(OR(K209='Tabla Impacto'!$C$12,K209='Tabla Impacto'!$D$12),"Menor",IF(OR(K209='Tabla Impacto'!$C$13,K209='Tabla Impacto'!$D$13),"Moderado",IF(OR(K209='Tabla Impacto'!$C$14,K209='Tabla Impacto'!$D$14),"Mayor",IF(OR(K209='Tabla Impacto'!$C$15,K209='Tabla Impacto'!$D$15),"Catastrófico","")))))</f>
        <v>Mayor</v>
      </c>
      <c r="M209" s="186">
        <f>IF(L209="","",IF(L209="Leve",0.2,IF(L209="Menor",0.4,IF(L209="Moderado",0.6,IF(L209="Mayor",0.8,IF(L209="Catastrófico",1,))))))</f>
        <v>0.8</v>
      </c>
      <c r="N209" s="192" t="str">
        <f>IF(OR(AND(H209="Muy Baja",L209="Leve"),AND(H209="Muy Baja",L209="Menor"),AND(H209="Baja",L209="Leve")),"Bajo",IF(OR(AND(H209="Muy baja",L209="Moderado"),AND(H209="Baja",L209="Menor"),AND(H209="Baja",L209="Moderado"),AND(H209="Media",L209="Leve"),AND(H209="Media",L209="Menor"),AND(H209="Media",L209="Moderado"),AND(H209="Alta",L209="Leve"),AND(H209="Alta",L209="Menor")),"Moderado",IF(OR(AND(H209="Muy Baja",L209="Mayor"),AND(H209="Baja",L209="Mayor"),AND(H209="Media",L209="Mayor"),AND(H209="Alta",L209="Moderado"),AND(H209="Alta",L209="Mayor"),AND(H209="Muy Alta",L209="Leve"),AND(H209="Muy Alta",L209="Menor"),AND(H209="Muy Alta",L209="Moderado"),AND(H209="Muy Alta",L209="Mayor")),"Alto",IF(OR(AND(H209="Muy Baja",L209="Catastrófico"),AND(H209="Baja",L209="Catastrófico"),AND(H209="Media",L209="Catastrófico"),AND(H209="Alta",L209="Catastrófico"),AND(H209="Muy Alta",L209="Catastrófico")),"Extremo",""))))</f>
        <v>Alto</v>
      </c>
      <c r="O209" s="123">
        <v>1</v>
      </c>
      <c r="P209" s="124"/>
      <c r="Q209" s="125" t="str">
        <f>IF(OR(R209="Preventivo",R209="Detectivo"),"Probabilidad",IF(R209="Correctivo","Impacto",""))</f>
        <v/>
      </c>
      <c r="R209" s="126"/>
      <c r="S209" s="126"/>
      <c r="T209" s="127" t="str">
        <f>IF(AND(R209="Preventivo",S209="Automático"),"50%",IF(AND(R209="Preventivo",S209="Manual"),"40%",IF(AND(R209="Detectivo",S209="Automático"),"40%",IF(AND(R209="Detectivo",S209="Manual"),"30%",IF(AND(R209="Correctivo",S209="Automático"),"35%",IF(AND(R209="Correctivo",S209="Manual"),"25%",""))))))</f>
        <v/>
      </c>
      <c r="U209" s="126"/>
      <c r="V209" s="126"/>
      <c r="W209" s="126"/>
      <c r="X209" s="128" t="str">
        <f>IFERROR(IF(Q209="Probabilidad",(I209-(+I209*T209)),IF(Q209="Impacto",I209,"")),"")</f>
        <v/>
      </c>
      <c r="Y209" s="129" t="str">
        <f>IFERROR(IF(X209="","",IF(X209&lt;=0.2,"Muy Baja",IF(X209&lt;=0.4,"Baja",IF(X209&lt;=0.6,"Media",IF(X209&lt;=0.8,"Alta","Muy Alta"))))),"")</f>
        <v/>
      </c>
      <c r="Z209" s="130" t="str">
        <f>+X209</f>
        <v/>
      </c>
      <c r="AA209" s="129" t="str">
        <f>IFERROR(IF(AB209="","",IF(AB209&lt;=0.2,"Leve",IF(AB209&lt;=0.4,"Menor",IF(AB209&lt;=0.6,"Moderado",IF(AB209&lt;=0.8,"Mayor","Catastrófico"))))),"")</f>
        <v/>
      </c>
      <c r="AB209" s="130" t="str">
        <f>IFERROR(IF(Q209="Impacto",(M209-(+M209*T209)),IF(Q209="Probabilidad",M209,"")),"")</f>
        <v/>
      </c>
      <c r="AC209" s="131" t="str">
        <f>IFERROR(IF(OR(AND(Y209="Muy Baja",AA209="Leve"),AND(Y209="Muy Baja",AA209="Menor"),AND(Y209="Baja",AA209="Leve")),"Bajo",IF(OR(AND(Y209="Muy baja",AA209="Moderado"),AND(Y209="Baja",AA209="Menor"),AND(Y209="Baja",AA209="Moderado"),AND(Y209="Media",AA209="Leve"),AND(Y209="Media",AA209="Menor"),AND(Y209="Media",AA209="Moderado"),AND(Y209="Alta",AA209="Leve"),AND(Y209="Alta",AA209="Menor")),"Moderado",IF(OR(AND(Y209="Muy Baja",AA209="Mayor"),AND(Y209="Baja",AA209="Mayor"),AND(Y209="Media",AA209="Mayor"),AND(Y209="Alta",AA209="Moderado"),AND(Y209="Alta",AA209="Mayor"),AND(Y209="Muy Alta",AA209="Leve"),AND(Y209="Muy Alta",AA209="Menor"),AND(Y209="Muy Alta",AA209="Moderado"),AND(Y209="Muy Alta",AA209="Mayor")),"Alto",IF(OR(AND(Y209="Muy Baja",AA209="Catastrófico"),AND(Y209="Baja",AA209="Catastrófico"),AND(Y209="Media",AA209="Catastrófico"),AND(Y209="Alta",AA209="Catastrófico"),AND(Y209="Muy Alta",AA209="Catastrófico")),"Extremo","")))),"")</f>
        <v/>
      </c>
      <c r="AD209" s="132" t="s">
        <v>134</v>
      </c>
      <c r="AE209" s="133" t="s">
        <v>324</v>
      </c>
      <c r="AF209" s="134"/>
      <c r="AG209" s="135"/>
      <c r="AH209" s="135"/>
      <c r="AI209" s="133"/>
      <c r="AJ209" s="134"/>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row>
    <row r="210" spans="1:68" ht="151.5" customHeight="1" x14ac:dyDescent="0.15">
      <c r="A210" s="196"/>
      <c r="B210" s="199"/>
      <c r="C210" s="199"/>
      <c r="D210" s="199"/>
      <c r="E210" s="202"/>
      <c r="F210" s="199"/>
      <c r="G210" s="205"/>
      <c r="H210" s="190"/>
      <c r="I210" s="187"/>
      <c r="J210" s="184"/>
      <c r="K210" s="187">
        <f>IF(NOT(ISERROR(MATCH(J210,_xlfn.ANCHORARRAY(E392),0))),I394&amp;"Por favor no seleccionar los criterios de impacto",J210)</f>
        <v>0</v>
      </c>
      <c r="L210" s="190"/>
      <c r="M210" s="187"/>
      <c r="N210" s="193"/>
      <c r="O210" s="123"/>
      <c r="P210" s="124"/>
      <c r="Q210" s="125" t="str">
        <f>IF(OR(R210="Preventivo",R210="Detectivo"),"Probabilidad",IF(R210="Correctivo","Impacto",""))</f>
        <v/>
      </c>
      <c r="R210" s="126"/>
      <c r="S210" s="126"/>
      <c r="T210" s="127" t="str">
        <f t="shared" ref="T210:T211" si="230">IF(AND(R210="Preventivo",S210="Automático"),"50%",IF(AND(R210="Preventivo",S210="Manual"),"40%",IF(AND(R210="Detectivo",S210="Automático"),"40%",IF(AND(R210="Detectivo",S210="Manual"),"30%",IF(AND(R210="Correctivo",S210="Automático"),"35%",IF(AND(R210="Correctivo",S210="Manual"),"25%",""))))))</f>
        <v/>
      </c>
      <c r="U210" s="126"/>
      <c r="V210" s="126"/>
      <c r="W210" s="126"/>
      <c r="X210" s="128" t="str">
        <f>IFERROR(IF(AND(Q209="Probabilidad",Q210="Probabilidad"),(Z209-(+Z209*T210)),IF(Q210="Probabilidad",(I209-(+I209*T210)),IF(Q210="Impacto",Z209,""))),"")</f>
        <v/>
      </c>
      <c r="Y210" s="129" t="str">
        <f>IFERROR(IF(X210="","",IF(X210&lt;=0.2,"Muy Baja",IF(X210&lt;=0.4,"Baja",IF(X210&lt;=0.6,"Media",IF(X210&lt;=0.8,"Alta","Muy Alta"))))),"")</f>
        <v/>
      </c>
      <c r="Z210" s="130" t="str">
        <f>+X210</f>
        <v/>
      </c>
      <c r="AA210" s="129" t="str">
        <f t="shared" ref="AA210:AA211" si="231">IFERROR(IF(AB210="","",IF(AB210&lt;=0.2,"Leve",IF(AB210&lt;=0.4,"Menor",IF(AB210&lt;=0.6,"Moderado",IF(AB210&lt;=0.8,"Mayor","Catastrófico"))))),"")</f>
        <v/>
      </c>
      <c r="AB210" s="130" t="str">
        <f>IFERROR(IF(AND(Q209="Impacto",Q210="Impacto"),(AB209-(+AB209*T210)),IF(Q210="Impacto",(M209-(+M209*T210)),IF(Q210="Probabilidad",AB209,""))),"")</f>
        <v/>
      </c>
      <c r="AC210" s="131" t="str">
        <f t="shared" ref="AC210:AC211" si="232">IFERROR(IF(OR(AND(Y210="Muy Baja",AA210="Leve"),AND(Y210="Muy Baja",AA210="Menor"),AND(Y210="Baja",AA210="Leve")),"Bajo",IF(OR(AND(Y210="Muy baja",AA210="Moderado"),AND(Y210="Baja",AA210="Menor"),AND(Y210="Baja",AA210="Moderado"),AND(Y210="Media",AA210="Leve"),AND(Y210="Media",AA210="Menor"),AND(Y210="Media",AA210="Moderado"),AND(Y210="Alta",AA210="Leve"),AND(Y210="Alta",AA210="Menor")),"Moderado",IF(OR(AND(Y210="Muy Baja",AA210="Mayor"),AND(Y210="Baja",AA210="Mayor"),AND(Y210="Media",AA210="Mayor"),AND(Y210="Alta",AA210="Moderado"),AND(Y210="Alta",AA210="Mayor"),AND(Y210="Muy Alta",AA210="Leve"),AND(Y210="Muy Alta",AA210="Menor"),AND(Y210="Muy Alta",AA210="Moderado"),AND(Y210="Muy Alta",AA210="Mayor")),"Alto",IF(OR(AND(Y210="Muy Baja",AA210="Catastrófico"),AND(Y210="Baja",AA210="Catastrófico"),AND(Y210="Media",AA210="Catastrófico"),AND(Y210="Alta",AA210="Catastrófico"),AND(Y210="Muy Alta",AA210="Catastrófico")),"Extremo","")))),"")</f>
        <v/>
      </c>
      <c r="AD210" s="132"/>
      <c r="AE210" s="133"/>
      <c r="AF210" s="134"/>
      <c r="AG210" s="135"/>
      <c r="AH210" s="135"/>
      <c r="AI210" s="133"/>
      <c r="AJ210" s="134"/>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row>
    <row r="211" spans="1:68" ht="151.5" customHeight="1" x14ac:dyDescent="0.15">
      <c r="A211" s="196"/>
      <c r="B211" s="199"/>
      <c r="C211" s="199"/>
      <c r="D211" s="199"/>
      <c r="E211" s="202"/>
      <c r="F211" s="199"/>
      <c r="G211" s="205"/>
      <c r="H211" s="190"/>
      <c r="I211" s="187"/>
      <c r="J211" s="184"/>
      <c r="K211" s="187">
        <f>IF(NOT(ISERROR(MATCH(J211,_xlfn.ANCHORARRAY(E393),0))),I395&amp;"Por favor no seleccionar los criterios de impacto",J211)</f>
        <v>0</v>
      </c>
      <c r="L211" s="190"/>
      <c r="M211" s="187"/>
      <c r="N211" s="193"/>
      <c r="O211" s="123"/>
      <c r="P211" s="124"/>
      <c r="Q211" s="125" t="str">
        <f>IF(OR(R211="Preventivo",R211="Detectivo"),"Probabilidad",IF(R211="Correctivo","Impacto",""))</f>
        <v/>
      </c>
      <c r="R211" s="126"/>
      <c r="S211" s="126"/>
      <c r="T211" s="127" t="str">
        <f t="shared" si="230"/>
        <v/>
      </c>
      <c r="U211" s="126"/>
      <c r="V211" s="126"/>
      <c r="W211" s="126"/>
      <c r="X211" s="128" t="str">
        <f>IFERROR(IF(AND(Q210="Probabilidad",Q211="Probabilidad"),(Z210-(+Z210*T211)),IF(AND(Q210="Impacto",Q211="Probabilidad"),(Z209-(+Z209*T211)),IF(Q211="Impacto",Z210,""))),"")</f>
        <v/>
      </c>
      <c r="Y211" s="129" t="str">
        <f>IFERROR(IF(X211="","",IF(X211&lt;=0.2,"Muy Baja",IF(X211&lt;=0.4,"Baja",IF(X211&lt;=0.6,"Media",IF(X211&lt;=0.8,"Alta","Muy Alta"))))),"")</f>
        <v/>
      </c>
      <c r="Z211" s="130" t="str">
        <f>+X211</f>
        <v/>
      </c>
      <c r="AA211" s="129" t="str">
        <f t="shared" si="231"/>
        <v/>
      </c>
      <c r="AB211" s="130" t="str">
        <f>IFERROR(IF(AND(Q210="Impacto",Q211="Impacto"),(AB210-(+AB210*T211)),IF(Q211="Impacto",(M210-(+M210*T211)),IF(Q211="Probabilidad",AB210,""))),"")</f>
        <v/>
      </c>
      <c r="AC211" s="131" t="str">
        <f t="shared" si="232"/>
        <v/>
      </c>
      <c r="AD211" s="132"/>
      <c r="AE211" s="133"/>
      <c r="AF211" s="134"/>
      <c r="AG211" s="135"/>
      <c r="AH211" s="135"/>
      <c r="AI211" s="133"/>
      <c r="AJ211" s="134"/>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row>
    <row r="212" spans="1:68" ht="151.5" customHeight="1" x14ac:dyDescent="0.15">
      <c r="A212" s="196"/>
      <c r="B212" s="199"/>
      <c r="C212" s="199"/>
      <c r="D212" s="199"/>
      <c r="E212" s="202"/>
      <c r="F212" s="199"/>
      <c r="G212" s="205"/>
      <c r="H212" s="190"/>
      <c r="I212" s="187"/>
      <c r="J212" s="184"/>
      <c r="K212" s="187">
        <f>IF(NOT(ISERROR(MATCH(J212,_xlfn.ANCHORARRAY(E394),0))),I396&amp;"Por favor no seleccionar los criterios de impacto",J212)</f>
        <v>0</v>
      </c>
      <c r="L212" s="190"/>
      <c r="M212" s="187"/>
      <c r="N212" s="193"/>
      <c r="O212" s="123"/>
      <c r="P212" s="124"/>
      <c r="Q212" s="125"/>
      <c r="R212" s="126"/>
      <c r="S212" s="126"/>
      <c r="T212" s="127"/>
      <c r="U212" s="126"/>
      <c r="V212" s="126"/>
      <c r="W212" s="126"/>
      <c r="X212" s="128"/>
      <c r="Y212" s="129"/>
      <c r="Z212" s="130"/>
      <c r="AA212" s="129"/>
      <c r="AB212" s="130"/>
      <c r="AC212" s="131"/>
      <c r="AD212" s="132"/>
      <c r="AE212" s="133"/>
      <c r="AF212" s="134"/>
      <c r="AG212" s="135"/>
      <c r="AH212" s="135"/>
      <c r="AI212" s="133"/>
      <c r="AJ212" s="134"/>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row>
    <row r="213" spans="1:68" ht="151.5" customHeight="1" x14ac:dyDescent="0.15">
      <c r="A213" s="196"/>
      <c r="B213" s="199"/>
      <c r="C213" s="199"/>
      <c r="D213" s="199"/>
      <c r="E213" s="202"/>
      <c r="F213" s="199"/>
      <c r="G213" s="205"/>
      <c r="H213" s="190"/>
      <c r="I213" s="187"/>
      <c r="J213" s="184"/>
      <c r="K213" s="187">
        <f>IF(NOT(ISERROR(MATCH(J213,_xlfn.ANCHORARRAY(E395),0))),I397&amp;"Por favor no seleccionar los criterios de impacto",J213)</f>
        <v>0</v>
      </c>
      <c r="L213" s="190"/>
      <c r="M213" s="187"/>
      <c r="N213" s="193"/>
      <c r="O213" s="123"/>
      <c r="P213" s="124"/>
      <c r="Q213" s="125"/>
      <c r="R213" s="126"/>
      <c r="S213" s="126"/>
      <c r="T213" s="127"/>
      <c r="U213" s="126"/>
      <c r="V213" s="126"/>
      <c r="W213" s="126"/>
      <c r="X213" s="128"/>
      <c r="Y213" s="129"/>
      <c r="Z213" s="130"/>
      <c r="AA213" s="129"/>
      <c r="AB213" s="130"/>
      <c r="AC213" s="131"/>
      <c r="AD213" s="132"/>
      <c r="AE213" s="133"/>
      <c r="AF213" s="134"/>
      <c r="AG213" s="135"/>
      <c r="AH213" s="135"/>
      <c r="AI213" s="133"/>
      <c r="AJ213" s="134"/>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row>
    <row r="214" spans="1:68" ht="151.5" customHeight="1" x14ac:dyDescent="0.15">
      <c r="A214" s="197"/>
      <c r="B214" s="200"/>
      <c r="C214" s="200"/>
      <c r="D214" s="200"/>
      <c r="E214" s="203"/>
      <c r="F214" s="200"/>
      <c r="G214" s="206"/>
      <c r="H214" s="191"/>
      <c r="I214" s="188"/>
      <c r="J214" s="185"/>
      <c r="K214" s="188">
        <f>IF(NOT(ISERROR(MATCH(J214,_xlfn.ANCHORARRAY(E396),0))),I398&amp;"Por favor no seleccionar los criterios de impacto",J214)</f>
        <v>0</v>
      </c>
      <c r="L214" s="191"/>
      <c r="M214" s="188"/>
      <c r="N214" s="194"/>
      <c r="O214" s="123"/>
      <c r="P214" s="124"/>
      <c r="Q214" s="125"/>
      <c r="R214" s="126"/>
      <c r="S214" s="126"/>
      <c r="T214" s="127"/>
      <c r="U214" s="126"/>
      <c r="V214" s="126"/>
      <c r="W214" s="126"/>
      <c r="X214" s="128"/>
      <c r="Y214" s="129"/>
      <c r="Z214" s="130"/>
      <c r="AA214" s="129"/>
      <c r="AB214" s="130"/>
      <c r="AC214" s="131"/>
      <c r="AD214" s="132"/>
      <c r="AE214" s="133"/>
      <c r="AF214" s="134"/>
      <c r="AG214" s="135"/>
      <c r="AH214" s="135"/>
      <c r="AI214" s="133"/>
      <c r="AJ214" s="134"/>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row>
    <row r="215" spans="1:68" ht="151.5" customHeight="1" x14ac:dyDescent="0.15">
      <c r="A215" s="195">
        <f>+A209+1</f>
        <v>35</v>
      </c>
      <c r="B215" s="198" t="s">
        <v>131</v>
      </c>
      <c r="C215" s="198" t="s">
        <v>326</v>
      </c>
      <c r="D215" s="198"/>
      <c r="E215" s="201" t="s">
        <v>325</v>
      </c>
      <c r="F215" s="198"/>
      <c r="G215" s="204">
        <v>500</v>
      </c>
      <c r="H215" s="189" t="str">
        <f>IF(G215&lt;=0,"",IF(G215&lt;=2,"Muy Baja",IF(G215&lt;=24,"Baja",IF(G215&lt;=500,"Media",IF(G215&lt;=5000,"Alta","Muy Alta")))))</f>
        <v>Media</v>
      </c>
      <c r="I215" s="186">
        <f>IF(H215="","",IF(H215="Muy Baja",0.2,IF(H215="Baja",0.4,IF(H215="Media",0.6,IF(H215="Alta",0.8,IF(H215="Muy Alta",1,))))))</f>
        <v>0.6</v>
      </c>
      <c r="J215" s="183" t="s">
        <v>149</v>
      </c>
      <c r="K215" s="186" t="str">
        <f>IF(NOT(ISERROR(MATCH(J215,'Tabla Impacto'!$B$221:$B$223,0))),'Tabla Impacto'!$F$223&amp;"Por favor no seleccionar los criterios de impacto(Afectación Económica o presupuestal y Pérdida Reputacional)",J215)</f>
        <v xml:space="preserve">     Entre 100 y 500 SMLMV </v>
      </c>
      <c r="L215" s="189" t="str">
        <f>IF(OR(K215='Tabla Impacto'!$C$11,K215='Tabla Impacto'!$D$11),"Leve",IF(OR(K215='Tabla Impacto'!$C$12,K215='Tabla Impacto'!$D$12),"Menor",IF(OR(K215='Tabla Impacto'!$C$13,K215='Tabla Impacto'!$D$13),"Moderado",IF(OR(K215='Tabla Impacto'!$C$14,K215='Tabla Impacto'!$D$14),"Mayor",IF(OR(K215='Tabla Impacto'!$C$15,K215='Tabla Impacto'!$D$15),"Catastrófico","")))))</f>
        <v>Mayor</v>
      </c>
      <c r="M215" s="186">
        <f>IF(L215="","",IF(L215="Leve",0.2,IF(L215="Menor",0.4,IF(L215="Moderado",0.6,IF(L215="Mayor",0.8,IF(L215="Catastrófico",1,))))))</f>
        <v>0.8</v>
      </c>
      <c r="N215" s="192" t="str">
        <f>IF(OR(AND(H215="Muy Baja",L215="Leve"),AND(H215="Muy Baja",L215="Menor"),AND(H215="Baja",L215="Leve")),"Bajo",IF(OR(AND(H215="Muy baja",L215="Moderado"),AND(H215="Baja",L215="Menor"),AND(H215="Baja",L215="Moderado"),AND(H215="Media",L215="Leve"),AND(H215="Media",L215="Menor"),AND(H215="Media",L215="Moderado"),AND(H215="Alta",L215="Leve"),AND(H215="Alta",L215="Menor")),"Moderado",IF(OR(AND(H215="Muy Baja",L215="Mayor"),AND(H215="Baja",L215="Mayor"),AND(H215="Media",L215="Mayor"),AND(H215="Alta",L215="Moderado"),AND(H215="Alta",L215="Mayor"),AND(H215="Muy Alta",L215="Leve"),AND(H215="Muy Alta",L215="Menor"),AND(H215="Muy Alta",L215="Moderado"),AND(H215="Muy Alta",L215="Mayor")),"Alto",IF(OR(AND(H215="Muy Baja",L215="Catastrófico"),AND(H215="Baja",L215="Catastrófico"),AND(H215="Media",L215="Catastrófico"),AND(H215="Alta",L215="Catastrófico"),AND(H215="Muy Alta",L215="Catastrófico")),"Extremo",""))))</f>
        <v>Alto</v>
      </c>
      <c r="O215" s="123">
        <v>1</v>
      </c>
      <c r="P215" s="124" t="s">
        <v>327</v>
      </c>
      <c r="Q215" s="125" t="str">
        <f>IF(OR(R215="Preventivo",R215="Detectivo"),"Probabilidad",IF(R215="Correctivo","Impacto",""))</f>
        <v>Probabilidad</v>
      </c>
      <c r="R215" s="126" t="s">
        <v>13</v>
      </c>
      <c r="S215" s="126" t="s">
        <v>8</v>
      </c>
      <c r="T215" s="127" t="str">
        <f>IF(AND(R215="Preventivo",S215="Automático"),"50%",IF(AND(R215="Preventivo",S215="Manual"),"40%",IF(AND(R215="Detectivo",S215="Automático"),"40%",IF(AND(R215="Detectivo",S215="Manual"),"30%",IF(AND(R215="Correctivo",S215="Automático"),"35%",IF(AND(R215="Correctivo",S215="Manual"),"25%",""))))))</f>
        <v>30%</v>
      </c>
      <c r="U215" s="126" t="s">
        <v>17</v>
      </c>
      <c r="V215" s="126" t="s">
        <v>20</v>
      </c>
      <c r="W215" s="126" t="s">
        <v>117</v>
      </c>
      <c r="X215" s="128">
        <f>IFERROR(IF(Q215="Probabilidad",(I215-(+I215*T215)),IF(Q215="Impacto",I215,"")),"")</f>
        <v>0.42</v>
      </c>
      <c r="Y215" s="129" t="str">
        <f>IFERROR(IF(X215="","",IF(X215&lt;=0.2,"Muy Baja",IF(X215&lt;=0.4,"Baja",IF(X215&lt;=0.6,"Media",IF(X215&lt;=0.8,"Alta","Muy Alta"))))),"")</f>
        <v>Media</v>
      </c>
      <c r="Z215" s="130">
        <f>+X215</f>
        <v>0.42</v>
      </c>
      <c r="AA215" s="129" t="str">
        <f>IFERROR(IF(AB215="","",IF(AB215&lt;=0.2,"Leve",IF(AB215&lt;=0.4,"Menor",IF(AB215&lt;=0.6,"Moderado",IF(AB215&lt;=0.8,"Mayor","Catastrófico"))))),"")</f>
        <v>Mayor</v>
      </c>
      <c r="AB215" s="130">
        <f>IFERROR(IF(Q215="Impacto",(M215-(+M215*T215)),IF(Q215="Probabilidad",M215,"")),"")</f>
        <v>0.8</v>
      </c>
      <c r="AC215" s="131" t="str">
        <f>IFERROR(IF(OR(AND(Y215="Muy Baja",AA215="Leve"),AND(Y215="Muy Baja",AA215="Menor"),AND(Y215="Baja",AA215="Leve")),"Bajo",IF(OR(AND(Y215="Muy baja",AA215="Moderado"),AND(Y215="Baja",AA215="Menor"),AND(Y215="Baja",AA215="Moderado"),AND(Y215="Media",AA215="Leve"),AND(Y215="Media",AA215="Menor"),AND(Y215="Media",AA215="Moderado"),AND(Y215="Alta",AA215="Leve"),AND(Y215="Alta",AA215="Menor")),"Moderado",IF(OR(AND(Y215="Muy Baja",AA215="Mayor"),AND(Y215="Baja",AA215="Mayor"),AND(Y215="Media",AA215="Mayor"),AND(Y215="Alta",AA215="Moderado"),AND(Y215="Alta",AA215="Mayor"),AND(Y215="Muy Alta",AA215="Leve"),AND(Y215="Muy Alta",AA215="Menor"),AND(Y215="Muy Alta",AA215="Moderado"),AND(Y215="Muy Alta",AA215="Mayor")),"Alto",IF(OR(AND(Y215="Muy Baja",AA215="Catastrófico"),AND(Y215="Baja",AA215="Catastrófico"),AND(Y215="Media",AA215="Catastrófico"),AND(Y215="Alta",AA215="Catastrófico"),AND(Y215="Muy Alta",AA215="Catastrófico")),"Extremo","")))),"")</f>
        <v>Alto</v>
      </c>
      <c r="AD215" s="132" t="s">
        <v>134</v>
      </c>
      <c r="AE215" s="133" t="s">
        <v>338</v>
      </c>
      <c r="AF215" s="134"/>
      <c r="AG215" s="135"/>
      <c r="AH215" s="135"/>
      <c r="AI215" s="133"/>
      <c r="AJ215" s="134"/>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row>
    <row r="216" spans="1:68" ht="151.5" customHeight="1" x14ac:dyDescent="0.15">
      <c r="A216" s="196"/>
      <c r="B216" s="199"/>
      <c r="C216" s="199"/>
      <c r="D216" s="199"/>
      <c r="E216" s="202"/>
      <c r="F216" s="199"/>
      <c r="G216" s="205"/>
      <c r="H216" s="190"/>
      <c r="I216" s="187"/>
      <c r="J216" s="184"/>
      <c r="K216" s="187">
        <f>IF(NOT(ISERROR(MATCH(J216,_xlfn.ANCHORARRAY(E392),0))),I394&amp;"Por favor no seleccionar los criterios de impacto",J216)</f>
        <v>0</v>
      </c>
      <c r="L216" s="190"/>
      <c r="M216" s="187"/>
      <c r="N216" s="193"/>
      <c r="O216" s="123">
        <v>2</v>
      </c>
      <c r="P216" s="124" t="s">
        <v>328</v>
      </c>
      <c r="Q216" s="125" t="str">
        <f>IF(OR(R216="Preventivo",R216="Detectivo"),"Probabilidad",IF(R216="Correctivo","Impacto",""))</f>
        <v>Probabilidad</v>
      </c>
      <c r="R216" s="126" t="s">
        <v>12</v>
      </c>
      <c r="S216" s="126" t="s">
        <v>8</v>
      </c>
      <c r="T216" s="127" t="str">
        <f t="shared" ref="T216:T217" si="233">IF(AND(R216="Preventivo",S216="Automático"),"50%",IF(AND(R216="Preventivo",S216="Manual"),"40%",IF(AND(R216="Detectivo",S216="Automático"),"40%",IF(AND(R216="Detectivo",S216="Manual"),"30%",IF(AND(R216="Correctivo",S216="Automático"),"35%",IF(AND(R216="Correctivo",S216="Manual"),"25%",""))))))</f>
        <v>40%</v>
      </c>
      <c r="U216" s="126" t="s">
        <v>17</v>
      </c>
      <c r="V216" s="126" t="s">
        <v>20</v>
      </c>
      <c r="W216" s="126" t="s">
        <v>117</v>
      </c>
      <c r="X216" s="128">
        <f>IFERROR(IF(AND(Q215="Probabilidad",Q216="Probabilidad"),(Z215-(+Z215*T216)),IF(Q216="Probabilidad",(I215-(+I215*T216)),IF(Q216="Impacto",Z215,""))),"")</f>
        <v>0.252</v>
      </c>
      <c r="Y216" s="129" t="str">
        <f>IFERROR(IF(X216="","",IF(X216&lt;=0.2,"Muy Baja",IF(X216&lt;=0.4,"Baja",IF(X216&lt;=0.6,"Media",IF(X216&lt;=0.8,"Alta","Muy Alta"))))),"")</f>
        <v>Baja</v>
      </c>
      <c r="Z216" s="130">
        <f>+X216</f>
        <v>0.252</v>
      </c>
      <c r="AA216" s="129" t="str">
        <f t="shared" ref="AA216:AA217" si="234">IFERROR(IF(AB216="","",IF(AB216&lt;=0.2,"Leve",IF(AB216&lt;=0.4,"Menor",IF(AB216&lt;=0.6,"Moderado",IF(AB216&lt;=0.8,"Mayor","Catastrófico"))))),"")</f>
        <v>Mayor</v>
      </c>
      <c r="AB216" s="130">
        <f>IFERROR(IF(AND(Q215="Impacto",Q216="Impacto"),(AB215-(+AB215*T216)),IF(Q216="Impacto",(M215-(+M215*T216)),IF(Q216="Probabilidad",AB215,""))),"")</f>
        <v>0.8</v>
      </c>
      <c r="AC216" s="131" t="str">
        <f t="shared" ref="AC216:AC217" si="235">IFERROR(IF(OR(AND(Y216="Muy Baja",AA216="Leve"),AND(Y216="Muy Baja",AA216="Menor"),AND(Y216="Baja",AA216="Leve")),"Bajo",IF(OR(AND(Y216="Muy baja",AA216="Moderado"),AND(Y216="Baja",AA216="Menor"),AND(Y216="Baja",AA216="Moderado"),AND(Y216="Media",AA216="Leve"),AND(Y216="Media",AA216="Menor"),AND(Y216="Media",AA216="Moderado"),AND(Y216="Alta",AA216="Leve"),AND(Y216="Alta",AA216="Menor")),"Moderado",IF(OR(AND(Y216="Muy Baja",AA216="Mayor"),AND(Y216="Baja",AA216="Mayor"),AND(Y216="Media",AA216="Mayor"),AND(Y216="Alta",AA216="Moderado"),AND(Y216="Alta",AA216="Mayor"),AND(Y216="Muy Alta",AA216="Leve"),AND(Y216="Muy Alta",AA216="Menor"),AND(Y216="Muy Alta",AA216="Moderado"),AND(Y216="Muy Alta",AA216="Mayor")),"Alto",IF(OR(AND(Y216="Muy Baja",AA216="Catastrófico"),AND(Y216="Baja",AA216="Catastrófico"),AND(Y216="Media",AA216="Catastrófico"),AND(Y216="Alta",AA216="Catastrófico"),AND(Y216="Muy Alta",AA216="Catastrófico")),"Extremo","")))),"")</f>
        <v>Alto</v>
      </c>
      <c r="AD216" s="132" t="s">
        <v>134</v>
      </c>
      <c r="AE216" s="133"/>
      <c r="AF216" s="134"/>
      <c r="AG216" s="135"/>
      <c r="AH216" s="135"/>
      <c r="AI216" s="133"/>
      <c r="AJ216" s="134"/>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row>
    <row r="217" spans="1:68" ht="151.5" customHeight="1" x14ac:dyDescent="0.15">
      <c r="A217" s="196"/>
      <c r="B217" s="199"/>
      <c r="C217" s="199"/>
      <c r="D217" s="199"/>
      <c r="E217" s="202"/>
      <c r="F217" s="199"/>
      <c r="G217" s="205"/>
      <c r="H217" s="190"/>
      <c r="I217" s="187"/>
      <c r="J217" s="184"/>
      <c r="K217" s="187">
        <f>IF(NOT(ISERROR(MATCH(J217,_xlfn.ANCHORARRAY(E393),0))),I395&amp;"Por favor no seleccionar los criterios de impacto",J217)</f>
        <v>0</v>
      </c>
      <c r="L217" s="190"/>
      <c r="M217" s="187"/>
      <c r="N217" s="193"/>
      <c r="O217" s="123"/>
      <c r="P217" s="124"/>
      <c r="Q217" s="125" t="str">
        <f>IF(OR(R217="Preventivo",R217="Detectivo"),"Probabilidad",IF(R217="Correctivo","Impacto",""))</f>
        <v/>
      </c>
      <c r="R217" s="126"/>
      <c r="S217" s="126"/>
      <c r="T217" s="127" t="str">
        <f t="shared" si="233"/>
        <v/>
      </c>
      <c r="U217" s="126"/>
      <c r="V217" s="126"/>
      <c r="W217" s="126"/>
      <c r="X217" s="128" t="str">
        <f>IFERROR(IF(AND(Q216="Probabilidad",Q217="Probabilidad"),(Z216-(+Z216*T217)),IF(AND(Q216="Impacto",Q217="Probabilidad"),(Z215-(+Z215*T217)),IF(Q217="Impacto",Z216,""))),"")</f>
        <v/>
      </c>
      <c r="Y217" s="129" t="str">
        <f>IFERROR(IF(X217="","",IF(X217&lt;=0.2,"Muy Baja",IF(X217&lt;=0.4,"Baja",IF(X217&lt;=0.6,"Media",IF(X217&lt;=0.8,"Alta","Muy Alta"))))),"")</f>
        <v/>
      </c>
      <c r="Z217" s="130" t="str">
        <f>+X217</f>
        <v/>
      </c>
      <c r="AA217" s="129" t="str">
        <f t="shared" si="234"/>
        <v/>
      </c>
      <c r="AB217" s="130" t="str">
        <f>IFERROR(IF(AND(Q216="Impacto",Q217="Impacto"),(AB216-(+AB216*T217)),IF(Q217="Impacto",(M216-(+M216*T217)),IF(Q217="Probabilidad",AB216,""))),"")</f>
        <v/>
      </c>
      <c r="AC217" s="131" t="str">
        <f t="shared" si="235"/>
        <v/>
      </c>
      <c r="AD217" s="132"/>
      <c r="AE217" s="133"/>
      <c r="AF217" s="134"/>
      <c r="AG217" s="135"/>
      <c r="AH217" s="135"/>
      <c r="AI217" s="133"/>
      <c r="AJ217" s="134"/>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row>
    <row r="218" spans="1:68" ht="151.5" customHeight="1" x14ac:dyDescent="0.15">
      <c r="A218" s="196"/>
      <c r="B218" s="199"/>
      <c r="C218" s="199"/>
      <c r="D218" s="199"/>
      <c r="E218" s="202"/>
      <c r="F218" s="199"/>
      <c r="G218" s="205"/>
      <c r="H218" s="190"/>
      <c r="I218" s="187"/>
      <c r="J218" s="184"/>
      <c r="K218" s="187">
        <f>IF(NOT(ISERROR(MATCH(J218,_xlfn.ANCHORARRAY(E394),0))),I396&amp;"Por favor no seleccionar los criterios de impacto",J218)</f>
        <v>0</v>
      </c>
      <c r="L218" s="190"/>
      <c r="M218" s="187"/>
      <c r="N218" s="193"/>
      <c r="O218" s="123"/>
      <c r="P218" s="124"/>
      <c r="Q218" s="125"/>
      <c r="R218" s="126"/>
      <c r="S218" s="126"/>
      <c r="T218" s="127"/>
      <c r="U218" s="126"/>
      <c r="V218" s="126"/>
      <c r="W218" s="126"/>
      <c r="X218" s="128"/>
      <c r="Y218" s="129"/>
      <c r="Z218" s="130"/>
      <c r="AA218" s="129"/>
      <c r="AB218" s="130"/>
      <c r="AC218" s="131"/>
      <c r="AD218" s="132"/>
      <c r="AE218" s="133"/>
      <c r="AF218" s="134"/>
      <c r="AG218" s="135"/>
      <c r="AH218" s="135"/>
      <c r="AI218" s="133"/>
      <c r="AJ218" s="134"/>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row>
    <row r="219" spans="1:68" ht="151.5" customHeight="1" x14ac:dyDescent="0.15">
      <c r="A219" s="196"/>
      <c r="B219" s="199"/>
      <c r="C219" s="199"/>
      <c r="D219" s="199"/>
      <c r="E219" s="202"/>
      <c r="F219" s="199"/>
      <c r="G219" s="205"/>
      <c r="H219" s="190"/>
      <c r="I219" s="187"/>
      <c r="J219" s="184"/>
      <c r="K219" s="187">
        <f>IF(NOT(ISERROR(MATCH(J219,_xlfn.ANCHORARRAY(E395),0))),I397&amp;"Por favor no seleccionar los criterios de impacto",J219)</f>
        <v>0</v>
      </c>
      <c r="L219" s="190"/>
      <c r="M219" s="187"/>
      <c r="N219" s="193"/>
      <c r="O219" s="123"/>
      <c r="P219" s="124"/>
      <c r="Q219" s="125"/>
      <c r="R219" s="126"/>
      <c r="S219" s="126"/>
      <c r="T219" s="127"/>
      <c r="U219" s="126"/>
      <c r="V219" s="126"/>
      <c r="W219" s="126"/>
      <c r="X219" s="128"/>
      <c r="Y219" s="129"/>
      <c r="Z219" s="130"/>
      <c r="AA219" s="129"/>
      <c r="AB219" s="130"/>
      <c r="AC219" s="131"/>
      <c r="AD219" s="132"/>
      <c r="AE219" s="133"/>
      <c r="AF219" s="134"/>
      <c r="AG219" s="135"/>
      <c r="AH219" s="135"/>
      <c r="AI219" s="133"/>
      <c r="AJ219" s="134"/>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row>
    <row r="220" spans="1:68" ht="151.5" customHeight="1" x14ac:dyDescent="0.15">
      <c r="A220" s="197"/>
      <c r="B220" s="200"/>
      <c r="C220" s="200"/>
      <c r="D220" s="200"/>
      <c r="E220" s="203"/>
      <c r="F220" s="200"/>
      <c r="G220" s="206"/>
      <c r="H220" s="191"/>
      <c r="I220" s="188"/>
      <c r="J220" s="185"/>
      <c r="K220" s="188">
        <f>IF(NOT(ISERROR(MATCH(J220,_xlfn.ANCHORARRAY(E396),0))),I398&amp;"Por favor no seleccionar los criterios de impacto",J220)</f>
        <v>0</v>
      </c>
      <c r="L220" s="191"/>
      <c r="M220" s="188"/>
      <c r="N220" s="194"/>
      <c r="O220" s="123"/>
      <c r="P220" s="124"/>
      <c r="Q220" s="125"/>
      <c r="R220" s="126"/>
      <c r="S220" s="126"/>
      <c r="T220" s="127"/>
      <c r="U220" s="126"/>
      <c r="V220" s="126"/>
      <c r="W220" s="126"/>
      <c r="X220" s="128"/>
      <c r="Y220" s="129"/>
      <c r="Z220" s="130"/>
      <c r="AA220" s="129"/>
      <c r="AB220" s="130"/>
      <c r="AC220" s="131"/>
      <c r="AD220" s="132"/>
      <c r="AE220" s="133"/>
      <c r="AF220" s="134"/>
      <c r="AG220" s="135"/>
      <c r="AH220" s="135"/>
      <c r="AI220" s="133"/>
      <c r="AJ220" s="134"/>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row>
    <row r="221" spans="1:68" ht="49.5" customHeight="1" x14ac:dyDescent="0.15">
      <c r="A221" s="6"/>
      <c r="B221" s="217" t="s">
        <v>129</v>
      </c>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9"/>
    </row>
    <row r="223" spans="1:68" x14ac:dyDescent="0.15">
      <c r="A223" s="1"/>
      <c r="B223" s="24" t="s">
        <v>141</v>
      </c>
      <c r="C223" s="1"/>
      <c r="D223" s="1"/>
      <c r="F223" s="1"/>
    </row>
  </sheetData>
  <dataConsolidate/>
  <mergeCells count="535">
    <mergeCell ref="A143:A148"/>
    <mergeCell ref="B143:B148"/>
    <mergeCell ref="C143:C148"/>
    <mergeCell ref="D143:D148"/>
    <mergeCell ref="E143:E148"/>
    <mergeCell ref="F143:F148"/>
    <mergeCell ref="G143:G148"/>
    <mergeCell ref="A149:A154"/>
    <mergeCell ref="B149:B154"/>
    <mergeCell ref="C149:C154"/>
    <mergeCell ref="D149:D154"/>
    <mergeCell ref="E149:E154"/>
    <mergeCell ref="F149:F154"/>
    <mergeCell ref="G149:G154"/>
    <mergeCell ref="B113:B118"/>
    <mergeCell ref="C113:C118"/>
    <mergeCell ref="D113:D118"/>
    <mergeCell ref="I113:I118"/>
    <mergeCell ref="J113:J118"/>
    <mergeCell ref="A125:A130"/>
    <mergeCell ref="B125:B130"/>
    <mergeCell ref="C125:C130"/>
    <mergeCell ref="D125:D130"/>
    <mergeCell ref="E125:E130"/>
    <mergeCell ref="F125:F130"/>
    <mergeCell ref="G125:G130"/>
    <mergeCell ref="H125:H130"/>
    <mergeCell ref="I125:I130"/>
    <mergeCell ref="J125:J130"/>
    <mergeCell ref="G113:G118"/>
    <mergeCell ref="H113:H118"/>
    <mergeCell ref="K125:K130"/>
    <mergeCell ref="L125:L130"/>
    <mergeCell ref="M125:M130"/>
    <mergeCell ref="N125:N130"/>
    <mergeCell ref="A119:A124"/>
    <mergeCell ref="B119:B124"/>
    <mergeCell ref="C119:C124"/>
    <mergeCell ref="D119:D124"/>
    <mergeCell ref="E119:E124"/>
    <mergeCell ref="F119:F124"/>
    <mergeCell ref="G119:G124"/>
    <mergeCell ref="H119:H124"/>
    <mergeCell ref="I119:I124"/>
    <mergeCell ref="K113:K118"/>
    <mergeCell ref="L113:L118"/>
    <mergeCell ref="M113:M118"/>
    <mergeCell ref="N113:N118"/>
    <mergeCell ref="J119:J124"/>
    <mergeCell ref="K119:K124"/>
    <mergeCell ref="L119:L124"/>
    <mergeCell ref="M119:M124"/>
    <mergeCell ref="N119:N124"/>
    <mergeCell ref="C101:C106"/>
    <mergeCell ref="D101:D106"/>
    <mergeCell ref="E101:E106"/>
    <mergeCell ref="F101:F106"/>
    <mergeCell ref="G101:G106"/>
    <mergeCell ref="H101:H106"/>
    <mergeCell ref="J101:J106"/>
    <mergeCell ref="K101:K106"/>
    <mergeCell ref="L101:L106"/>
    <mergeCell ref="I101:I106"/>
    <mergeCell ref="A89:A94"/>
    <mergeCell ref="B89:B94"/>
    <mergeCell ref="C89:C94"/>
    <mergeCell ref="M101:M106"/>
    <mergeCell ref="N101:N106"/>
    <mergeCell ref="A107:A112"/>
    <mergeCell ref="B107:B112"/>
    <mergeCell ref="C107:C112"/>
    <mergeCell ref="D107:D112"/>
    <mergeCell ref="E107:E112"/>
    <mergeCell ref="F107:F112"/>
    <mergeCell ref="G107:G112"/>
    <mergeCell ref="H107:H112"/>
    <mergeCell ref="I107:I112"/>
    <mergeCell ref="J107:J112"/>
    <mergeCell ref="K107:K112"/>
    <mergeCell ref="L107:L112"/>
    <mergeCell ref="M107:M112"/>
    <mergeCell ref="N107:N112"/>
    <mergeCell ref="A101:A106"/>
    <mergeCell ref="B101:B106"/>
    <mergeCell ref="L89:L94"/>
    <mergeCell ref="M89:M94"/>
    <mergeCell ref="N89:N94"/>
    <mergeCell ref="A95:A100"/>
    <mergeCell ref="B95:B100"/>
    <mergeCell ref="C95:C100"/>
    <mergeCell ref="D95:D100"/>
    <mergeCell ref="E95:E100"/>
    <mergeCell ref="F95:F100"/>
    <mergeCell ref="G95:G100"/>
    <mergeCell ref="H95:H100"/>
    <mergeCell ref="I95:I100"/>
    <mergeCell ref="J95:J100"/>
    <mergeCell ref="K95:K100"/>
    <mergeCell ref="L95:L100"/>
    <mergeCell ref="M95:M100"/>
    <mergeCell ref="N95:N100"/>
    <mergeCell ref="D89:D94"/>
    <mergeCell ref="E89:E94"/>
    <mergeCell ref="F89:F94"/>
    <mergeCell ref="G89:G94"/>
    <mergeCell ref="H89:H94"/>
    <mergeCell ref="I89:I94"/>
    <mergeCell ref="J89:J94"/>
    <mergeCell ref="K89:K94"/>
    <mergeCell ref="K82:K87"/>
    <mergeCell ref="N82:N88"/>
    <mergeCell ref="M82:M88"/>
    <mergeCell ref="L82:L88"/>
    <mergeCell ref="J82:J88"/>
    <mergeCell ref="I82:I88"/>
    <mergeCell ref="D82:D87"/>
    <mergeCell ref="H82:H88"/>
    <mergeCell ref="G82:G88"/>
    <mergeCell ref="F82:F88"/>
    <mergeCell ref="E82:E88"/>
    <mergeCell ref="K76:K81"/>
    <mergeCell ref="L76:L81"/>
    <mergeCell ref="M76:M81"/>
    <mergeCell ref="N76:N81"/>
    <mergeCell ref="B70:B75"/>
    <mergeCell ref="C70:C75"/>
    <mergeCell ref="D70:D75"/>
    <mergeCell ref="E70:E75"/>
    <mergeCell ref="F70:F75"/>
    <mergeCell ref="B76:B81"/>
    <mergeCell ref="C76:C81"/>
    <mergeCell ref="D76:D81"/>
    <mergeCell ref="E76:E81"/>
    <mergeCell ref="F76:F81"/>
    <mergeCell ref="G76:G81"/>
    <mergeCell ref="H76:H81"/>
    <mergeCell ref="I76:I81"/>
    <mergeCell ref="J76:J81"/>
    <mergeCell ref="H64:H69"/>
    <mergeCell ref="I64:I69"/>
    <mergeCell ref="F10:F15"/>
    <mergeCell ref="G10:G15"/>
    <mergeCell ref="H10:H15"/>
    <mergeCell ref="A10:A15"/>
    <mergeCell ref="B10:B15"/>
    <mergeCell ref="C10:C15"/>
    <mergeCell ref="D10:D15"/>
    <mergeCell ref="E10:E15"/>
    <mergeCell ref="D16:D21"/>
    <mergeCell ref="E16:E21"/>
    <mergeCell ref="N10:N15"/>
    <mergeCell ref="I10:I15"/>
    <mergeCell ref="J10:J15"/>
    <mergeCell ref="K10:K15"/>
    <mergeCell ref="L10:L15"/>
    <mergeCell ref="M10:M15"/>
    <mergeCell ref="AA8:AA9"/>
    <mergeCell ref="Y8:Y9"/>
    <mergeCell ref="Z8:Z9"/>
    <mergeCell ref="Q8:Q9"/>
    <mergeCell ref="R8:W8"/>
    <mergeCell ref="G8:G9"/>
    <mergeCell ref="H8:H9"/>
    <mergeCell ref="I8:I9"/>
    <mergeCell ref="L8:L9"/>
    <mergeCell ref="M8:M9"/>
    <mergeCell ref="B8:B9"/>
    <mergeCell ref="N8:N9"/>
    <mergeCell ref="J8:J9"/>
    <mergeCell ref="K8:K9"/>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K34:K39"/>
    <mergeCell ref="L34:L39"/>
    <mergeCell ref="A58:A63"/>
    <mergeCell ref="B58:B63"/>
    <mergeCell ref="C58:C63"/>
    <mergeCell ref="D58:D63"/>
    <mergeCell ref="E58:E63"/>
    <mergeCell ref="A46:A51"/>
    <mergeCell ref="B46:B51"/>
    <mergeCell ref="C46:C51"/>
    <mergeCell ref="D46:D51"/>
    <mergeCell ref="E46:E51"/>
    <mergeCell ref="A52:A57"/>
    <mergeCell ref="B52:B57"/>
    <mergeCell ref="C52:C57"/>
    <mergeCell ref="D52:D57"/>
    <mergeCell ref="E52:E57"/>
    <mergeCell ref="I34:I39"/>
    <mergeCell ref="J34:J39"/>
    <mergeCell ref="G40:G45"/>
    <mergeCell ref="H40:H45"/>
    <mergeCell ref="I40:I45"/>
    <mergeCell ref="M58:M63"/>
    <mergeCell ref="N58:N63"/>
    <mergeCell ref="F52:F57"/>
    <mergeCell ref="G52:G57"/>
    <mergeCell ref="H52:H57"/>
    <mergeCell ref="I52:I57"/>
    <mergeCell ref="J52:J57"/>
    <mergeCell ref="L52:L57"/>
    <mergeCell ref="K52:K57"/>
    <mergeCell ref="M52:M57"/>
    <mergeCell ref="N52:N57"/>
    <mergeCell ref="B221:AJ221"/>
    <mergeCell ref="M64:M69"/>
    <mergeCell ref="N64:N69"/>
    <mergeCell ref="A113:A118"/>
    <mergeCell ref="I70:I75"/>
    <mergeCell ref="J64:J69"/>
    <mergeCell ref="K64:K69"/>
    <mergeCell ref="L64:L69"/>
    <mergeCell ref="A64:A69"/>
    <mergeCell ref="B64:B69"/>
    <mergeCell ref="C64:C69"/>
    <mergeCell ref="D64:D69"/>
    <mergeCell ref="E64:E69"/>
    <mergeCell ref="F64:F69"/>
    <mergeCell ref="G64:G69"/>
    <mergeCell ref="A70:A75"/>
    <mergeCell ref="A76:A81"/>
    <mergeCell ref="J70:J75"/>
    <mergeCell ref="K70:K75"/>
    <mergeCell ref="A82:A88"/>
    <mergeCell ref="C82:C88"/>
    <mergeCell ref="B82:B88"/>
    <mergeCell ref="E113:E118"/>
    <mergeCell ref="F113:F118"/>
    <mergeCell ref="A1:AJ2"/>
    <mergeCell ref="A7:G7"/>
    <mergeCell ref="H7:N7"/>
    <mergeCell ref="O7:W7"/>
    <mergeCell ref="X7:AD7"/>
    <mergeCell ref="AE7:AJ7"/>
    <mergeCell ref="G70:G75"/>
    <mergeCell ref="L70:L75"/>
    <mergeCell ref="M70:M75"/>
    <mergeCell ref="N70:N75"/>
    <mergeCell ref="H70:H75"/>
    <mergeCell ref="M46:M51"/>
    <mergeCell ref="N46:N51"/>
    <mergeCell ref="F58:F63"/>
    <mergeCell ref="G58:G63"/>
    <mergeCell ref="H58:H63"/>
    <mergeCell ref="I58:I63"/>
    <mergeCell ref="J58:J63"/>
    <mergeCell ref="F46:F51"/>
    <mergeCell ref="G46:G51"/>
    <mergeCell ref="H46:H51"/>
    <mergeCell ref="I46:I51"/>
    <mergeCell ref="K58:K63"/>
    <mergeCell ref="L58:L63"/>
    <mergeCell ref="A131:A136"/>
    <mergeCell ref="B131:B136"/>
    <mergeCell ref="C131:C136"/>
    <mergeCell ref="D131:D136"/>
    <mergeCell ref="E131:E136"/>
    <mergeCell ref="F131:F136"/>
    <mergeCell ref="G131:G136"/>
    <mergeCell ref="H131:H136"/>
    <mergeCell ref="I131:I136"/>
    <mergeCell ref="A137:A142"/>
    <mergeCell ref="B137:B142"/>
    <mergeCell ref="C137:C142"/>
    <mergeCell ref="D137:D142"/>
    <mergeCell ref="E137:E142"/>
    <mergeCell ref="F137:F142"/>
    <mergeCell ref="G137:G142"/>
    <mergeCell ref="H137:H142"/>
    <mergeCell ref="I137:I142"/>
    <mergeCell ref="J131:J136"/>
    <mergeCell ref="K131:K136"/>
    <mergeCell ref="L131:L136"/>
    <mergeCell ref="M131:M136"/>
    <mergeCell ref="N131:N136"/>
    <mergeCell ref="J137:J142"/>
    <mergeCell ref="K137:K142"/>
    <mergeCell ref="L137:L142"/>
    <mergeCell ref="M137:M142"/>
    <mergeCell ref="N137:N142"/>
    <mergeCell ref="H143:H148"/>
    <mergeCell ref="I143:I148"/>
    <mergeCell ref="J143:J148"/>
    <mergeCell ref="K143:K148"/>
    <mergeCell ref="L143:L148"/>
    <mergeCell ref="M143:M148"/>
    <mergeCell ref="N143:N148"/>
    <mergeCell ref="H149:H154"/>
    <mergeCell ref="I149:I154"/>
    <mergeCell ref="J149:J154"/>
    <mergeCell ref="K149:K154"/>
    <mergeCell ref="L149:L154"/>
    <mergeCell ref="M149:M154"/>
    <mergeCell ref="N149:N154"/>
    <mergeCell ref="L161:L166"/>
    <mergeCell ref="M161:M166"/>
    <mergeCell ref="N161:N166"/>
    <mergeCell ref="A155:A160"/>
    <mergeCell ref="B155:B160"/>
    <mergeCell ref="C155:C160"/>
    <mergeCell ref="D155:D160"/>
    <mergeCell ref="E155:E160"/>
    <mergeCell ref="F155:F160"/>
    <mergeCell ref="G155:G160"/>
    <mergeCell ref="H155:H160"/>
    <mergeCell ref="I155:I160"/>
    <mergeCell ref="J155:J160"/>
    <mergeCell ref="K155:K160"/>
    <mergeCell ref="L155:L160"/>
    <mergeCell ref="M155:M160"/>
    <mergeCell ref="N155:N160"/>
    <mergeCell ref="K167:K172"/>
    <mergeCell ref="L167:L172"/>
    <mergeCell ref="M167:M172"/>
    <mergeCell ref="N167:N172"/>
    <mergeCell ref="A161:A166"/>
    <mergeCell ref="B161:B166"/>
    <mergeCell ref="C161:C166"/>
    <mergeCell ref="D161:D166"/>
    <mergeCell ref="E161:E166"/>
    <mergeCell ref="A167:A172"/>
    <mergeCell ref="B167:B172"/>
    <mergeCell ref="C167:C172"/>
    <mergeCell ref="D167:D172"/>
    <mergeCell ref="E167:E172"/>
    <mergeCell ref="F167:F172"/>
    <mergeCell ref="G167:G172"/>
    <mergeCell ref="H167:H172"/>
    <mergeCell ref="I167:I172"/>
    <mergeCell ref="F161:F166"/>
    <mergeCell ref="G161:G166"/>
    <mergeCell ref="H161:H166"/>
    <mergeCell ref="I161:I166"/>
    <mergeCell ref="J161:J166"/>
    <mergeCell ref="K161:K166"/>
    <mergeCell ref="B173:B178"/>
    <mergeCell ref="C173:C178"/>
    <mergeCell ref="D173:D178"/>
    <mergeCell ref="E173:E178"/>
    <mergeCell ref="F173:F178"/>
    <mergeCell ref="G173:G178"/>
    <mergeCell ref="H173:H178"/>
    <mergeCell ref="I173:I178"/>
    <mergeCell ref="J167:J172"/>
    <mergeCell ref="J173:J178"/>
    <mergeCell ref="K185:K190"/>
    <mergeCell ref="L185:L190"/>
    <mergeCell ref="M185:M190"/>
    <mergeCell ref="N185:N190"/>
    <mergeCell ref="A179:A184"/>
    <mergeCell ref="B179:B184"/>
    <mergeCell ref="C179:C184"/>
    <mergeCell ref="D179:D184"/>
    <mergeCell ref="E179:E184"/>
    <mergeCell ref="F179:F184"/>
    <mergeCell ref="G179:G184"/>
    <mergeCell ref="H179:H184"/>
    <mergeCell ref="I179:I184"/>
    <mergeCell ref="K173:K178"/>
    <mergeCell ref="L173:L178"/>
    <mergeCell ref="M173:M178"/>
    <mergeCell ref="N173:N178"/>
    <mergeCell ref="J179:J184"/>
    <mergeCell ref="K179:K184"/>
    <mergeCell ref="L179:L184"/>
    <mergeCell ref="M179:M184"/>
    <mergeCell ref="N179:N184"/>
    <mergeCell ref="A173:A178"/>
    <mergeCell ref="J191:J196"/>
    <mergeCell ref="K191:K196"/>
    <mergeCell ref="L191:L196"/>
    <mergeCell ref="M191:M196"/>
    <mergeCell ref="N191:N196"/>
    <mergeCell ref="A185:A190"/>
    <mergeCell ref="B185:B190"/>
    <mergeCell ref="C185:C190"/>
    <mergeCell ref="D185:D190"/>
    <mergeCell ref="E185:E190"/>
    <mergeCell ref="A191:A196"/>
    <mergeCell ref="B191:B196"/>
    <mergeCell ref="C191:C196"/>
    <mergeCell ref="D191:D196"/>
    <mergeCell ref="E191:E196"/>
    <mergeCell ref="F191:F196"/>
    <mergeCell ref="G191:G196"/>
    <mergeCell ref="H191:H196"/>
    <mergeCell ref="I191:I196"/>
    <mergeCell ref="F185:F190"/>
    <mergeCell ref="G185:G190"/>
    <mergeCell ref="H185:H190"/>
    <mergeCell ref="I185:I190"/>
    <mergeCell ref="J185:J190"/>
    <mergeCell ref="A197:A202"/>
    <mergeCell ref="B197:B202"/>
    <mergeCell ref="C197:C202"/>
    <mergeCell ref="D197:D202"/>
    <mergeCell ref="E197:E202"/>
    <mergeCell ref="F197:F202"/>
    <mergeCell ref="G197:G202"/>
    <mergeCell ref="H197:H202"/>
    <mergeCell ref="I197:I202"/>
    <mergeCell ref="A203:A208"/>
    <mergeCell ref="B203:B208"/>
    <mergeCell ref="C203:C208"/>
    <mergeCell ref="D203:D208"/>
    <mergeCell ref="E203:E208"/>
    <mergeCell ref="K203:K208"/>
    <mergeCell ref="L203:L208"/>
    <mergeCell ref="M203:M208"/>
    <mergeCell ref="N203:N208"/>
    <mergeCell ref="J197:J202"/>
    <mergeCell ref="K197:K202"/>
    <mergeCell ref="L197:L202"/>
    <mergeCell ref="M197:M202"/>
    <mergeCell ref="N197:N202"/>
    <mergeCell ref="G209:G214"/>
    <mergeCell ref="H209:H214"/>
    <mergeCell ref="I209:I214"/>
    <mergeCell ref="F203:F208"/>
    <mergeCell ref="G203:G208"/>
    <mergeCell ref="H203:H208"/>
    <mergeCell ref="I203:I208"/>
    <mergeCell ref="J203:J208"/>
    <mergeCell ref="J209:J214"/>
    <mergeCell ref="K209:K214"/>
    <mergeCell ref="L209:L214"/>
    <mergeCell ref="M209:M214"/>
    <mergeCell ref="N209:N214"/>
    <mergeCell ref="J215:J220"/>
    <mergeCell ref="K215:K220"/>
    <mergeCell ref="L215:L220"/>
    <mergeCell ref="M215:M220"/>
    <mergeCell ref="N215:N220"/>
    <mergeCell ref="A209:A214"/>
    <mergeCell ref="B209:B214"/>
    <mergeCell ref="C209:C214"/>
    <mergeCell ref="D209:D214"/>
    <mergeCell ref="E209:E214"/>
    <mergeCell ref="F209:F214"/>
    <mergeCell ref="A215:A220"/>
    <mergeCell ref="B215:B220"/>
    <mergeCell ref="C215:C220"/>
    <mergeCell ref="D215:D220"/>
    <mergeCell ref="E215:E220"/>
    <mergeCell ref="F215:F220"/>
    <mergeCell ref="G215:G220"/>
    <mergeCell ref="H215:H220"/>
    <mergeCell ref="I215:I220"/>
  </mergeCells>
  <conditionalFormatting sqref="H10 H16">
    <cfRule type="cellIs" dxfId="454" priority="1052" operator="equal">
      <formula>"Muy Baja"</formula>
    </cfRule>
    <cfRule type="cellIs" dxfId="453" priority="1051" operator="equal">
      <formula>"Baja"</formula>
    </cfRule>
    <cfRule type="cellIs" dxfId="452" priority="1050" operator="equal">
      <formula>"Media"</formula>
    </cfRule>
    <cfRule type="cellIs" dxfId="451" priority="1049" operator="equal">
      <formula>"Alta"</formula>
    </cfRule>
    <cfRule type="cellIs" dxfId="450" priority="1048" operator="equal">
      <formula>"Muy Alta"</formula>
    </cfRule>
  </conditionalFormatting>
  <conditionalFormatting sqref="H22">
    <cfRule type="cellIs" dxfId="449" priority="954" operator="equal">
      <formula>"Muy Baja"</formula>
    </cfRule>
    <cfRule type="cellIs" dxfId="448" priority="953" operator="equal">
      <formula>"Baja"</formula>
    </cfRule>
    <cfRule type="cellIs" dxfId="447" priority="952" operator="equal">
      <formula>"Media"</formula>
    </cfRule>
    <cfRule type="cellIs" dxfId="446" priority="951" operator="equal">
      <formula>"Alta"</formula>
    </cfRule>
    <cfRule type="cellIs" dxfId="445" priority="950" operator="equal">
      <formula>"Muy Alta"</formula>
    </cfRule>
  </conditionalFormatting>
  <conditionalFormatting sqref="H28">
    <cfRule type="cellIs" dxfId="444" priority="926" operator="equal">
      <formula>"Muy Baja"</formula>
    </cfRule>
    <cfRule type="cellIs" dxfId="443" priority="925" operator="equal">
      <formula>"Baja"</formula>
    </cfRule>
    <cfRule type="cellIs" dxfId="442" priority="924" operator="equal">
      <formula>"Media"</formula>
    </cfRule>
    <cfRule type="cellIs" dxfId="441" priority="923" operator="equal">
      <formula>"Alta"</formula>
    </cfRule>
    <cfRule type="cellIs" dxfId="440" priority="922" operator="equal">
      <formula>"Muy Alta"</formula>
    </cfRule>
  </conditionalFormatting>
  <conditionalFormatting sqref="H34">
    <cfRule type="cellIs" dxfId="439" priority="898" operator="equal">
      <formula>"Muy Baja"</formula>
    </cfRule>
    <cfRule type="cellIs" dxfId="438" priority="897" operator="equal">
      <formula>"Baja"</formula>
    </cfRule>
    <cfRule type="cellIs" dxfId="437" priority="896" operator="equal">
      <formula>"Media"</formula>
    </cfRule>
    <cfRule type="cellIs" dxfId="436" priority="895" operator="equal">
      <formula>"Alta"</formula>
    </cfRule>
    <cfRule type="cellIs" dxfId="435" priority="894" operator="equal">
      <formula>"Muy Alta"</formula>
    </cfRule>
  </conditionalFormatting>
  <conditionalFormatting sqref="H40">
    <cfRule type="cellIs" dxfId="434" priority="866" operator="equal">
      <formula>"Muy Alta"</formula>
    </cfRule>
    <cfRule type="cellIs" dxfId="433" priority="867" operator="equal">
      <formula>"Alta"</formula>
    </cfRule>
    <cfRule type="cellIs" dxfId="432" priority="868" operator="equal">
      <formula>"Media"</formula>
    </cfRule>
    <cfRule type="cellIs" dxfId="431" priority="869" operator="equal">
      <formula>"Baja"</formula>
    </cfRule>
    <cfRule type="cellIs" dxfId="430" priority="870" operator="equal">
      <formula>"Muy Baja"</formula>
    </cfRule>
  </conditionalFormatting>
  <conditionalFormatting sqref="H46">
    <cfRule type="cellIs" dxfId="429" priority="842" operator="equal">
      <formula>"Muy Baja"</formula>
    </cfRule>
    <cfRule type="cellIs" dxfId="428" priority="841" operator="equal">
      <formula>"Baja"</formula>
    </cfRule>
    <cfRule type="cellIs" dxfId="427" priority="840" operator="equal">
      <formula>"Media"</formula>
    </cfRule>
    <cfRule type="cellIs" dxfId="426" priority="839" operator="equal">
      <formula>"Alta"</formula>
    </cfRule>
    <cfRule type="cellIs" dxfId="425" priority="838" operator="equal">
      <formula>"Muy Alta"</formula>
    </cfRule>
  </conditionalFormatting>
  <conditionalFormatting sqref="H52">
    <cfRule type="cellIs" dxfId="424" priority="719" operator="equal">
      <formula>"Muy Baja"</formula>
    </cfRule>
    <cfRule type="cellIs" dxfId="423" priority="717" operator="equal">
      <formula>"Media"</formula>
    </cfRule>
    <cfRule type="cellIs" dxfId="422" priority="718" operator="equal">
      <formula>"Baja"</formula>
    </cfRule>
    <cfRule type="cellIs" dxfId="421" priority="716" operator="equal">
      <formula>"Alta"</formula>
    </cfRule>
    <cfRule type="cellIs" dxfId="420" priority="715" operator="equal">
      <formula>"Muy Alta"</formula>
    </cfRule>
  </conditionalFormatting>
  <conditionalFormatting sqref="H58">
    <cfRule type="cellIs" dxfId="419" priority="814" operator="equal">
      <formula>"Muy Baja"</formula>
    </cfRule>
    <cfRule type="cellIs" dxfId="418" priority="811" operator="equal">
      <formula>"Alta"</formula>
    </cfRule>
    <cfRule type="cellIs" dxfId="417" priority="812" operator="equal">
      <formula>"Media"</formula>
    </cfRule>
    <cfRule type="cellIs" dxfId="416" priority="813" operator="equal">
      <formula>"Baja"</formula>
    </cfRule>
    <cfRule type="cellIs" dxfId="415" priority="810" operator="equal">
      <formula>"Muy Alta"</formula>
    </cfRule>
  </conditionalFormatting>
  <conditionalFormatting sqref="H64">
    <cfRule type="cellIs" dxfId="414" priority="786" operator="equal">
      <formula>"Muy Baja"</formula>
    </cfRule>
    <cfRule type="cellIs" dxfId="413" priority="782" operator="equal">
      <formula>"Muy Alta"</formula>
    </cfRule>
    <cfRule type="cellIs" dxfId="412" priority="785" operator="equal">
      <formula>"Baja"</formula>
    </cfRule>
    <cfRule type="cellIs" dxfId="411" priority="784" operator="equal">
      <formula>"Media"</formula>
    </cfRule>
    <cfRule type="cellIs" dxfId="410" priority="783" operator="equal">
      <formula>"Alta"</formula>
    </cfRule>
  </conditionalFormatting>
  <conditionalFormatting sqref="H70">
    <cfRule type="cellIs" dxfId="409" priority="692" operator="equal">
      <formula>"Alta"</formula>
    </cfRule>
    <cfRule type="cellIs" dxfId="408" priority="694" operator="equal">
      <formula>"Baja"</formula>
    </cfRule>
    <cfRule type="cellIs" dxfId="407" priority="693" operator="equal">
      <formula>"Media"</formula>
    </cfRule>
    <cfRule type="cellIs" dxfId="406" priority="695" operator="equal">
      <formula>"Muy Baja"</formula>
    </cfRule>
    <cfRule type="cellIs" dxfId="405" priority="691" operator="equal">
      <formula>"Muy Alta"</formula>
    </cfRule>
  </conditionalFormatting>
  <conditionalFormatting sqref="H76">
    <cfRule type="cellIs" dxfId="404" priority="667" operator="equal">
      <formula>"Muy Baja"</formula>
    </cfRule>
    <cfRule type="cellIs" dxfId="403" priority="666" operator="equal">
      <formula>"Baja"</formula>
    </cfRule>
    <cfRule type="cellIs" dxfId="402" priority="664" operator="equal">
      <formula>"Alta"</formula>
    </cfRule>
    <cfRule type="cellIs" dxfId="401" priority="663" operator="equal">
      <formula>"Muy Alta"</formula>
    </cfRule>
    <cfRule type="cellIs" dxfId="400" priority="665" operator="equal">
      <formula>"Media"</formula>
    </cfRule>
  </conditionalFormatting>
  <conditionalFormatting sqref="H82">
    <cfRule type="cellIs" dxfId="399" priority="611" operator="equal">
      <formula>"Muy Baja"</formula>
    </cfRule>
    <cfRule type="cellIs" dxfId="398" priority="607" operator="equal">
      <formula>"Muy Alta"</formula>
    </cfRule>
    <cfRule type="cellIs" dxfId="397" priority="610" operator="equal">
      <formula>"Baja"</formula>
    </cfRule>
    <cfRule type="cellIs" dxfId="396" priority="609" operator="equal">
      <formula>"Media"</formula>
    </cfRule>
    <cfRule type="cellIs" dxfId="395" priority="608" operator="equal">
      <formula>"Alta"</formula>
    </cfRule>
  </conditionalFormatting>
  <conditionalFormatting sqref="H89">
    <cfRule type="cellIs" dxfId="394" priority="549" operator="equal">
      <formula>"Media"</formula>
    </cfRule>
    <cfRule type="cellIs" dxfId="393" priority="550" operator="equal">
      <formula>"Baja"</formula>
    </cfRule>
    <cfRule type="cellIs" dxfId="392" priority="551" operator="equal">
      <formula>"Muy Baja"</formula>
    </cfRule>
    <cfRule type="cellIs" dxfId="391" priority="548" operator="equal">
      <formula>"Alta"</formula>
    </cfRule>
    <cfRule type="cellIs" dxfId="390" priority="547" operator="equal">
      <formula>"Muy Alta"</formula>
    </cfRule>
  </conditionalFormatting>
  <conditionalFormatting sqref="H95">
    <cfRule type="cellIs" dxfId="389" priority="537" operator="equal">
      <formula>"Muy Alta"</formula>
    </cfRule>
    <cfRule type="cellIs" dxfId="388" priority="541" operator="equal">
      <formula>"Muy Baja"</formula>
    </cfRule>
    <cfRule type="cellIs" dxfId="387" priority="539" operator="equal">
      <formula>"Media"</formula>
    </cfRule>
    <cfRule type="cellIs" dxfId="386" priority="540" operator="equal">
      <formula>"Baja"</formula>
    </cfRule>
    <cfRule type="cellIs" dxfId="385" priority="538" operator="equal">
      <formula>"Alta"</formula>
    </cfRule>
  </conditionalFormatting>
  <conditionalFormatting sqref="H101">
    <cfRule type="cellIs" dxfId="384" priority="526" operator="equal">
      <formula>"Baja"</formula>
    </cfRule>
    <cfRule type="cellIs" dxfId="383" priority="527" operator="equal">
      <formula>"Muy Baja"</formula>
    </cfRule>
    <cfRule type="cellIs" dxfId="382" priority="525" operator="equal">
      <formula>"Media"</formula>
    </cfRule>
    <cfRule type="cellIs" dxfId="381" priority="524" operator="equal">
      <formula>"Alta"</formula>
    </cfRule>
    <cfRule type="cellIs" dxfId="380" priority="523" operator="equal">
      <formula>"Muy Alta"</formula>
    </cfRule>
  </conditionalFormatting>
  <conditionalFormatting sqref="H107">
    <cfRule type="cellIs" dxfId="379" priority="513" operator="equal">
      <formula>"Muy Baja"</formula>
    </cfRule>
    <cfRule type="cellIs" dxfId="378" priority="510" operator="equal">
      <formula>"Alta"</formula>
    </cfRule>
    <cfRule type="cellIs" dxfId="377" priority="512" operator="equal">
      <formula>"Baja"</formula>
    </cfRule>
    <cfRule type="cellIs" dxfId="376" priority="509" operator="equal">
      <formula>"Muy Alta"</formula>
    </cfRule>
    <cfRule type="cellIs" dxfId="375" priority="511" operator="equal">
      <formula>"Media"</formula>
    </cfRule>
  </conditionalFormatting>
  <conditionalFormatting sqref="H113">
    <cfRule type="cellIs" dxfId="374" priority="499" operator="equal">
      <formula>"Muy Baja"</formula>
    </cfRule>
    <cfRule type="cellIs" dxfId="373" priority="498" operator="equal">
      <formula>"Baja"</formula>
    </cfRule>
    <cfRule type="cellIs" dxfId="372" priority="497" operator="equal">
      <formula>"Media"</formula>
    </cfRule>
    <cfRule type="cellIs" dxfId="371" priority="496" operator="equal">
      <formula>"Alta"</formula>
    </cfRule>
    <cfRule type="cellIs" dxfId="370" priority="495" operator="equal">
      <formula>"Muy Alta"</formula>
    </cfRule>
  </conditionalFormatting>
  <conditionalFormatting sqref="H119">
    <cfRule type="cellIs" dxfId="369" priority="481" operator="equal">
      <formula>"Muy Alta"</formula>
    </cfRule>
    <cfRule type="cellIs" dxfId="368" priority="482" operator="equal">
      <formula>"Alta"</formula>
    </cfRule>
    <cfRule type="cellIs" dxfId="367" priority="485" operator="equal">
      <formula>"Muy Baja"</formula>
    </cfRule>
    <cfRule type="cellIs" dxfId="366" priority="484" operator="equal">
      <formula>"Baja"</formula>
    </cfRule>
    <cfRule type="cellIs" dxfId="365" priority="483" operator="equal">
      <formula>"Media"</formula>
    </cfRule>
  </conditionalFormatting>
  <conditionalFormatting sqref="H125">
    <cfRule type="cellIs" dxfId="364" priority="453" operator="equal">
      <formula>"Muy Alta"</formula>
    </cfRule>
    <cfRule type="cellIs" dxfId="363" priority="455" operator="equal">
      <formula>"Media"</formula>
    </cfRule>
    <cfRule type="cellIs" dxfId="362" priority="454" operator="equal">
      <formula>"Alta"</formula>
    </cfRule>
    <cfRule type="cellIs" dxfId="361" priority="457" operator="equal">
      <formula>"Muy Baja"</formula>
    </cfRule>
    <cfRule type="cellIs" dxfId="360" priority="456" operator="equal">
      <formula>"Baja"</formula>
    </cfRule>
  </conditionalFormatting>
  <conditionalFormatting sqref="H131">
    <cfRule type="cellIs" dxfId="359" priority="439" operator="equal">
      <formula>"Muy Alta"</formula>
    </cfRule>
    <cfRule type="cellIs" dxfId="358" priority="440" operator="equal">
      <formula>"Alta"</formula>
    </cfRule>
    <cfRule type="cellIs" dxfId="357" priority="441" operator="equal">
      <formula>"Media"</formula>
    </cfRule>
    <cfRule type="cellIs" dxfId="356" priority="442" operator="equal">
      <formula>"Baja"</formula>
    </cfRule>
    <cfRule type="cellIs" dxfId="355" priority="443" operator="equal">
      <formula>"Muy Baja"</formula>
    </cfRule>
  </conditionalFormatting>
  <conditionalFormatting sqref="H137">
    <cfRule type="cellIs" dxfId="354" priority="425" operator="equal">
      <formula>"Muy Alta"</formula>
    </cfRule>
    <cfRule type="cellIs" dxfId="353" priority="426" operator="equal">
      <formula>"Alta"</formula>
    </cfRule>
    <cfRule type="cellIs" dxfId="352" priority="428" operator="equal">
      <formula>"Baja"</formula>
    </cfRule>
    <cfRule type="cellIs" dxfId="351" priority="429" operator="equal">
      <formula>"Muy Baja"</formula>
    </cfRule>
    <cfRule type="cellIs" dxfId="350" priority="427" operator="equal">
      <formula>"Media"</formula>
    </cfRule>
  </conditionalFormatting>
  <conditionalFormatting sqref="H143">
    <cfRule type="cellIs" dxfId="349" priority="399" operator="equal">
      <formula>"Media"</formula>
    </cfRule>
    <cfRule type="cellIs" dxfId="348" priority="401" operator="equal">
      <formula>"Muy Baja"</formula>
    </cfRule>
    <cfRule type="cellIs" dxfId="347" priority="398" operator="equal">
      <formula>"Alta"</formula>
    </cfRule>
    <cfRule type="cellIs" dxfId="346" priority="397" operator="equal">
      <formula>"Muy Alta"</formula>
    </cfRule>
    <cfRule type="cellIs" dxfId="345" priority="400" operator="equal">
      <formula>"Baja"</formula>
    </cfRule>
  </conditionalFormatting>
  <conditionalFormatting sqref="H149">
    <cfRule type="cellIs" dxfId="344" priority="387" operator="equal">
      <formula>"Muy Baja"</formula>
    </cfRule>
    <cfRule type="cellIs" dxfId="343" priority="383" operator="equal">
      <formula>"Muy Alta"</formula>
    </cfRule>
    <cfRule type="cellIs" dxfId="342" priority="386" operator="equal">
      <formula>"Baja"</formula>
    </cfRule>
    <cfRule type="cellIs" dxfId="341" priority="385" operator="equal">
      <formula>"Media"</formula>
    </cfRule>
    <cfRule type="cellIs" dxfId="340" priority="384" operator="equal">
      <formula>"Alta"</formula>
    </cfRule>
  </conditionalFormatting>
  <conditionalFormatting sqref="H155">
    <cfRule type="cellIs" dxfId="339" priority="370" operator="equal">
      <formula>"Alta"</formula>
    </cfRule>
    <cfRule type="cellIs" dxfId="338" priority="371" operator="equal">
      <formula>"Media"</formula>
    </cfRule>
    <cfRule type="cellIs" dxfId="337" priority="372" operator="equal">
      <formula>"Baja"</formula>
    </cfRule>
    <cfRule type="cellIs" dxfId="336" priority="373" operator="equal">
      <formula>"Muy Baja"</formula>
    </cfRule>
    <cfRule type="cellIs" dxfId="335" priority="369" operator="equal">
      <formula>"Muy Alta"</formula>
    </cfRule>
  </conditionalFormatting>
  <conditionalFormatting sqref="H161">
    <cfRule type="cellIs" dxfId="334" priority="358" operator="equal">
      <formula>"Baja"</formula>
    </cfRule>
    <cfRule type="cellIs" dxfId="333" priority="355" operator="equal">
      <formula>"Muy Alta"</formula>
    </cfRule>
    <cfRule type="cellIs" dxfId="332" priority="359" operator="equal">
      <formula>"Muy Baja"</formula>
    </cfRule>
    <cfRule type="cellIs" dxfId="331" priority="357" operator="equal">
      <formula>"Media"</formula>
    </cfRule>
    <cfRule type="cellIs" dxfId="330" priority="356" operator="equal">
      <formula>"Alta"</formula>
    </cfRule>
  </conditionalFormatting>
  <conditionalFormatting sqref="H167">
    <cfRule type="cellIs" dxfId="329" priority="344" operator="equal">
      <formula>"Baja"</formula>
    </cfRule>
    <cfRule type="cellIs" dxfId="328" priority="343" operator="equal">
      <formula>"Media"</formula>
    </cfRule>
    <cfRule type="cellIs" dxfId="327" priority="342" operator="equal">
      <formula>"Alta"</formula>
    </cfRule>
    <cfRule type="cellIs" dxfId="326" priority="345" operator="equal">
      <formula>"Muy Baja"</formula>
    </cfRule>
    <cfRule type="cellIs" dxfId="325" priority="341" operator="equal">
      <formula>"Muy Alta"</formula>
    </cfRule>
  </conditionalFormatting>
  <conditionalFormatting sqref="H173">
    <cfRule type="cellIs" dxfId="324" priority="330" operator="equal">
      <formula>"Baja"</formula>
    </cfRule>
    <cfRule type="cellIs" dxfId="323" priority="327" operator="equal">
      <formula>"Muy Alta"</formula>
    </cfRule>
    <cfRule type="cellIs" dxfId="322" priority="328" operator="equal">
      <formula>"Alta"</formula>
    </cfRule>
    <cfRule type="cellIs" dxfId="321" priority="329" operator="equal">
      <formula>"Media"</formula>
    </cfRule>
    <cfRule type="cellIs" dxfId="320" priority="331" operator="equal">
      <formula>"Muy Baja"</formula>
    </cfRule>
  </conditionalFormatting>
  <conditionalFormatting sqref="H179">
    <cfRule type="cellIs" dxfId="319" priority="317" operator="equal">
      <formula>"Muy Baja"</formula>
    </cfRule>
    <cfRule type="cellIs" dxfId="318" priority="313" operator="equal">
      <formula>"Muy Alta"</formula>
    </cfRule>
    <cfRule type="cellIs" dxfId="317" priority="316" operator="equal">
      <formula>"Baja"</formula>
    </cfRule>
    <cfRule type="cellIs" dxfId="316" priority="315" operator="equal">
      <formula>"Media"</formula>
    </cfRule>
    <cfRule type="cellIs" dxfId="315" priority="314" operator="equal">
      <formula>"Alta"</formula>
    </cfRule>
  </conditionalFormatting>
  <conditionalFormatting sqref="H185">
    <cfRule type="cellIs" dxfId="314" priority="301" operator="equal">
      <formula>"Media"</formula>
    </cfRule>
    <cfRule type="cellIs" dxfId="313" priority="302" operator="equal">
      <formula>"Baja"</formula>
    </cfRule>
    <cfRule type="cellIs" dxfId="312" priority="300" operator="equal">
      <formula>"Alta"</formula>
    </cfRule>
    <cfRule type="cellIs" dxfId="311" priority="299" operator="equal">
      <formula>"Muy Alta"</formula>
    </cfRule>
    <cfRule type="cellIs" dxfId="310" priority="303" operator="equal">
      <formula>"Muy Baja"</formula>
    </cfRule>
  </conditionalFormatting>
  <conditionalFormatting sqref="H191">
    <cfRule type="cellIs" dxfId="309" priority="286" operator="equal">
      <formula>"Alta"</formula>
    </cfRule>
    <cfRule type="cellIs" dxfId="308" priority="289" operator="equal">
      <formula>"Muy Baja"</formula>
    </cfRule>
    <cfRule type="cellIs" dxfId="307" priority="288" operator="equal">
      <formula>"Baja"</formula>
    </cfRule>
    <cfRule type="cellIs" dxfId="306" priority="287" operator="equal">
      <formula>"Media"</formula>
    </cfRule>
    <cfRule type="cellIs" dxfId="305" priority="285" operator="equal">
      <formula>"Muy Alta"</formula>
    </cfRule>
  </conditionalFormatting>
  <conditionalFormatting sqref="H197">
    <cfRule type="cellIs" dxfId="304" priority="275" operator="equal">
      <formula>"Muy Baja"</formula>
    </cfRule>
    <cfRule type="cellIs" dxfId="303" priority="274" operator="equal">
      <formula>"Baja"</formula>
    </cfRule>
    <cfRule type="cellIs" dxfId="302" priority="273" operator="equal">
      <formula>"Media"</formula>
    </cfRule>
    <cfRule type="cellIs" dxfId="301" priority="272" operator="equal">
      <formula>"Alta"</formula>
    </cfRule>
    <cfRule type="cellIs" dxfId="300" priority="271" operator="equal">
      <formula>"Muy Alta"</formula>
    </cfRule>
  </conditionalFormatting>
  <conditionalFormatting sqref="H203">
    <cfRule type="cellIs" dxfId="299" priority="245" operator="equal">
      <formula>"Media"</formula>
    </cfRule>
    <cfRule type="cellIs" dxfId="298" priority="243" operator="equal">
      <formula>"Muy Alta"</formula>
    </cfRule>
    <cfRule type="cellIs" dxfId="297" priority="244" operator="equal">
      <formula>"Alta"</formula>
    </cfRule>
    <cfRule type="cellIs" dxfId="296" priority="246" operator="equal">
      <formula>"Baja"</formula>
    </cfRule>
    <cfRule type="cellIs" dxfId="295" priority="247" operator="equal">
      <formula>"Muy Baja"</formula>
    </cfRule>
  </conditionalFormatting>
  <conditionalFormatting sqref="H209">
    <cfRule type="cellIs" dxfId="294" priority="229" operator="equal">
      <formula>"Muy Alta"</formula>
    </cfRule>
    <cfRule type="cellIs" dxfId="293" priority="231" operator="equal">
      <formula>"Media"</formula>
    </cfRule>
    <cfRule type="cellIs" dxfId="292" priority="233" operator="equal">
      <formula>"Muy Baja"</formula>
    </cfRule>
    <cfRule type="cellIs" dxfId="291" priority="232" operator="equal">
      <formula>"Baja"</formula>
    </cfRule>
    <cfRule type="cellIs" dxfId="290" priority="230" operator="equal">
      <formula>"Alta"</formula>
    </cfRule>
  </conditionalFormatting>
  <conditionalFormatting sqref="H215">
    <cfRule type="cellIs" dxfId="289" priority="216" operator="equal">
      <formula>"Alta"</formula>
    </cfRule>
    <cfRule type="cellIs" dxfId="288" priority="215" operator="equal">
      <formula>"Muy Alta"</formula>
    </cfRule>
    <cfRule type="cellIs" dxfId="287" priority="217" operator="equal">
      <formula>"Media"</formula>
    </cfRule>
    <cfRule type="cellIs" dxfId="286" priority="219" operator="equal">
      <formula>"Muy Baja"</formula>
    </cfRule>
    <cfRule type="cellIs" dxfId="285" priority="218" operator="equal">
      <formula>"Baja"</formula>
    </cfRule>
  </conditionalFormatting>
  <conditionalFormatting sqref="K10:K220">
    <cfRule type="containsText" dxfId="284" priority="730" operator="containsText" text="❌">
      <formula>NOT(ISERROR(SEARCH("❌",K10)))</formula>
    </cfRule>
  </conditionalFormatting>
  <conditionalFormatting sqref="L10 L16 L22 L28 L34 L40 L46 L52 L58 L64">
    <cfRule type="cellIs" dxfId="283" priority="1047" operator="equal">
      <formula>"Leve"</formula>
    </cfRule>
    <cfRule type="cellIs" dxfId="282" priority="1046" operator="equal">
      <formula>"Menor"</formula>
    </cfRule>
    <cfRule type="cellIs" dxfId="281" priority="1045" operator="equal">
      <formula>"Moderado"</formula>
    </cfRule>
    <cfRule type="cellIs" dxfId="280" priority="1044" operator="equal">
      <formula>"Mayor"</formula>
    </cfRule>
    <cfRule type="cellIs" dxfId="279" priority="1043" operator="equal">
      <formula>"Catastrófico"</formula>
    </cfRule>
  </conditionalFormatting>
  <conditionalFormatting sqref="L70">
    <cfRule type="cellIs" dxfId="278" priority="697" operator="equal">
      <formula>"Mayor"</formula>
    </cfRule>
    <cfRule type="cellIs" dxfId="277" priority="700" operator="equal">
      <formula>"Leve"</formula>
    </cfRule>
    <cfRule type="cellIs" dxfId="276" priority="699" operator="equal">
      <formula>"Menor"</formula>
    </cfRule>
    <cfRule type="cellIs" dxfId="275" priority="698" operator="equal">
      <formula>"Moderado"</formula>
    </cfRule>
    <cfRule type="cellIs" dxfId="274" priority="696" operator="equal">
      <formula>"Catastrófico"</formula>
    </cfRule>
  </conditionalFormatting>
  <conditionalFormatting sqref="L76">
    <cfRule type="cellIs" dxfId="273" priority="669" operator="equal">
      <formula>"Mayor"</formula>
    </cfRule>
    <cfRule type="cellIs" dxfId="272" priority="672" operator="equal">
      <formula>"Leve"</formula>
    </cfRule>
    <cfRule type="cellIs" dxfId="271" priority="671" operator="equal">
      <formula>"Menor"</formula>
    </cfRule>
    <cfRule type="cellIs" dxfId="270" priority="670" operator="equal">
      <formula>"Moderado"</formula>
    </cfRule>
    <cfRule type="cellIs" dxfId="269" priority="668" operator="equal">
      <formula>"Catastrófico"</formula>
    </cfRule>
  </conditionalFormatting>
  <conditionalFormatting sqref="L82">
    <cfRule type="cellIs" dxfId="268" priority="612" operator="equal">
      <formula>"Catastrófico"</formula>
    </cfRule>
    <cfRule type="cellIs" dxfId="267" priority="615" operator="equal">
      <formula>"Menor"</formula>
    </cfRule>
    <cfRule type="cellIs" dxfId="266" priority="614" operator="equal">
      <formula>"Moderado"</formula>
    </cfRule>
    <cfRule type="cellIs" dxfId="265" priority="613" operator="equal">
      <formula>"Mayor"</formula>
    </cfRule>
    <cfRule type="cellIs" dxfId="264" priority="616" operator="equal">
      <formula>"Leve"</formula>
    </cfRule>
  </conditionalFormatting>
  <conditionalFormatting sqref="L89">
    <cfRule type="cellIs" dxfId="263" priority="556" operator="equal">
      <formula>"Leve"</formula>
    </cfRule>
    <cfRule type="cellIs" dxfId="262" priority="554" operator="equal">
      <formula>"Moderado"</formula>
    </cfRule>
    <cfRule type="cellIs" dxfId="261" priority="553" operator="equal">
      <formula>"Mayor"</formula>
    </cfRule>
    <cfRule type="cellIs" dxfId="260" priority="552" operator="equal">
      <formula>"Catastrófico"</formula>
    </cfRule>
    <cfRule type="cellIs" dxfId="259" priority="555" operator="equal">
      <formula>"Menor"</formula>
    </cfRule>
  </conditionalFormatting>
  <conditionalFormatting sqref="L95">
    <cfRule type="cellIs" dxfId="258" priority="544" operator="equal">
      <formula>"Moderado"</formula>
    </cfRule>
    <cfRule type="cellIs" dxfId="257" priority="543" operator="equal">
      <formula>"Mayor"</formula>
    </cfRule>
    <cfRule type="cellIs" dxfId="256" priority="542" operator="equal">
      <formula>"Catastrófico"</formula>
    </cfRule>
    <cfRule type="cellIs" dxfId="255" priority="546" operator="equal">
      <formula>"Leve"</formula>
    </cfRule>
    <cfRule type="cellIs" dxfId="254" priority="545" operator="equal">
      <formula>"Menor"</formula>
    </cfRule>
  </conditionalFormatting>
  <conditionalFormatting sqref="L101">
    <cfRule type="cellIs" dxfId="253" priority="528" operator="equal">
      <formula>"Catastrófico"</formula>
    </cfRule>
    <cfRule type="cellIs" dxfId="252" priority="532" operator="equal">
      <formula>"Leve"</formula>
    </cfRule>
    <cfRule type="cellIs" dxfId="251" priority="529" operator="equal">
      <formula>"Mayor"</formula>
    </cfRule>
    <cfRule type="cellIs" dxfId="250" priority="530" operator="equal">
      <formula>"Moderado"</formula>
    </cfRule>
    <cfRule type="cellIs" dxfId="249" priority="531" operator="equal">
      <formula>"Menor"</formula>
    </cfRule>
  </conditionalFormatting>
  <conditionalFormatting sqref="L107">
    <cfRule type="cellIs" dxfId="248" priority="518" operator="equal">
      <formula>"Leve"</formula>
    </cfRule>
    <cfRule type="cellIs" dxfId="247" priority="514" operator="equal">
      <formula>"Catastrófico"</formula>
    </cfRule>
    <cfRule type="cellIs" dxfId="246" priority="517" operator="equal">
      <formula>"Menor"</formula>
    </cfRule>
    <cfRule type="cellIs" dxfId="245" priority="516" operator="equal">
      <formula>"Moderado"</formula>
    </cfRule>
    <cfRule type="cellIs" dxfId="244" priority="515" operator="equal">
      <formula>"Mayor"</formula>
    </cfRule>
  </conditionalFormatting>
  <conditionalFormatting sqref="L113">
    <cfRule type="cellIs" dxfId="243" priority="503" operator="equal">
      <formula>"Menor"</formula>
    </cfRule>
    <cfRule type="cellIs" dxfId="242" priority="502" operator="equal">
      <formula>"Moderado"</formula>
    </cfRule>
    <cfRule type="cellIs" dxfId="241" priority="504" operator="equal">
      <formula>"Leve"</formula>
    </cfRule>
    <cfRule type="cellIs" dxfId="240" priority="501" operator="equal">
      <formula>"Mayor"</formula>
    </cfRule>
    <cfRule type="cellIs" dxfId="239" priority="500" operator="equal">
      <formula>"Catastrófico"</formula>
    </cfRule>
  </conditionalFormatting>
  <conditionalFormatting sqref="L119">
    <cfRule type="cellIs" dxfId="238" priority="486" operator="equal">
      <formula>"Catastrófico"</formula>
    </cfRule>
    <cfRule type="cellIs" dxfId="237" priority="489" operator="equal">
      <formula>"Menor"</formula>
    </cfRule>
    <cfRule type="cellIs" dxfId="236" priority="488" operator="equal">
      <formula>"Moderado"</formula>
    </cfRule>
    <cfRule type="cellIs" dxfId="235" priority="490" operator="equal">
      <formula>"Leve"</formula>
    </cfRule>
    <cfRule type="cellIs" dxfId="234" priority="487" operator="equal">
      <formula>"Mayor"</formula>
    </cfRule>
  </conditionalFormatting>
  <conditionalFormatting sqref="L125">
    <cfRule type="cellIs" dxfId="233" priority="460" operator="equal">
      <formula>"Moderado"</formula>
    </cfRule>
    <cfRule type="cellIs" dxfId="232" priority="461" operator="equal">
      <formula>"Menor"</formula>
    </cfRule>
    <cfRule type="cellIs" dxfId="231" priority="462" operator="equal">
      <formula>"Leve"</formula>
    </cfRule>
    <cfRule type="cellIs" dxfId="230" priority="459" operator="equal">
      <formula>"Mayor"</formula>
    </cfRule>
    <cfRule type="cellIs" dxfId="229" priority="458" operator="equal">
      <formula>"Catastrófico"</formula>
    </cfRule>
  </conditionalFormatting>
  <conditionalFormatting sqref="L131">
    <cfRule type="cellIs" dxfId="228" priority="446" operator="equal">
      <formula>"Moderado"</formula>
    </cfRule>
    <cfRule type="cellIs" dxfId="227" priority="448" operator="equal">
      <formula>"Leve"</formula>
    </cfRule>
    <cfRule type="cellIs" dxfId="226" priority="445" operator="equal">
      <formula>"Mayor"</formula>
    </cfRule>
    <cfRule type="cellIs" dxfId="225" priority="447" operator="equal">
      <formula>"Menor"</formula>
    </cfRule>
    <cfRule type="cellIs" dxfId="224" priority="444" operator="equal">
      <formula>"Catastrófico"</formula>
    </cfRule>
  </conditionalFormatting>
  <conditionalFormatting sqref="L137">
    <cfRule type="cellIs" dxfId="223" priority="431" operator="equal">
      <formula>"Mayor"</formula>
    </cfRule>
    <cfRule type="cellIs" dxfId="222" priority="434" operator="equal">
      <formula>"Leve"</formula>
    </cfRule>
    <cfRule type="cellIs" dxfId="221" priority="430" operator="equal">
      <formula>"Catastrófico"</formula>
    </cfRule>
    <cfRule type="cellIs" dxfId="220" priority="433" operator="equal">
      <formula>"Menor"</formula>
    </cfRule>
    <cfRule type="cellIs" dxfId="219" priority="432" operator="equal">
      <formula>"Moderado"</formula>
    </cfRule>
  </conditionalFormatting>
  <conditionalFormatting sqref="L143">
    <cfRule type="cellIs" dxfId="218" priority="403" operator="equal">
      <formula>"Mayor"</formula>
    </cfRule>
    <cfRule type="cellIs" dxfId="217" priority="402" operator="equal">
      <formula>"Catastrófico"</formula>
    </cfRule>
    <cfRule type="cellIs" dxfId="216" priority="404" operator="equal">
      <formula>"Moderado"</formula>
    </cfRule>
    <cfRule type="cellIs" dxfId="215" priority="406" operator="equal">
      <formula>"Leve"</formula>
    </cfRule>
    <cfRule type="cellIs" dxfId="214" priority="405" operator="equal">
      <formula>"Menor"</formula>
    </cfRule>
  </conditionalFormatting>
  <conditionalFormatting sqref="L149">
    <cfRule type="cellIs" dxfId="213" priority="390" operator="equal">
      <formula>"Moderado"</formula>
    </cfRule>
    <cfRule type="cellIs" dxfId="212" priority="392" operator="equal">
      <formula>"Leve"</formula>
    </cfRule>
    <cfRule type="cellIs" dxfId="211" priority="391" operator="equal">
      <formula>"Menor"</formula>
    </cfRule>
    <cfRule type="cellIs" dxfId="210" priority="388" operator="equal">
      <formula>"Catastrófico"</formula>
    </cfRule>
    <cfRule type="cellIs" dxfId="209" priority="389" operator="equal">
      <formula>"Mayor"</formula>
    </cfRule>
  </conditionalFormatting>
  <conditionalFormatting sqref="L155">
    <cfRule type="cellIs" dxfId="208" priority="376" operator="equal">
      <formula>"Moderado"</formula>
    </cfRule>
    <cfRule type="cellIs" dxfId="207" priority="378" operator="equal">
      <formula>"Leve"</formula>
    </cfRule>
    <cfRule type="cellIs" dxfId="206" priority="377" operator="equal">
      <formula>"Menor"</formula>
    </cfRule>
    <cfRule type="cellIs" dxfId="205" priority="374" operator="equal">
      <formula>"Catastrófico"</formula>
    </cfRule>
    <cfRule type="cellIs" dxfId="204" priority="375" operator="equal">
      <formula>"Mayor"</formula>
    </cfRule>
  </conditionalFormatting>
  <conditionalFormatting sqref="L161">
    <cfRule type="cellIs" dxfId="203" priority="360" operator="equal">
      <formula>"Catastrófico"</formula>
    </cfRule>
    <cfRule type="cellIs" dxfId="202" priority="364" operator="equal">
      <formula>"Leve"</formula>
    </cfRule>
    <cfRule type="cellIs" dxfId="201" priority="361" operator="equal">
      <formula>"Mayor"</formula>
    </cfRule>
    <cfRule type="cellIs" dxfId="200" priority="362" operator="equal">
      <formula>"Moderado"</formula>
    </cfRule>
    <cfRule type="cellIs" dxfId="199" priority="363" operator="equal">
      <formula>"Menor"</formula>
    </cfRule>
  </conditionalFormatting>
  <conditionalFormatting sqref="L167">
    <cfRule type="cellIs" dxfId="198" priority="349" operator="equal">
      <formula>"Menor"</formula>
    </cfRule>
    <cfRule type="cellIs" dxfId="197" priority="346" operator="equal">
      <formula>"Catastrófico"</formula>
    </cfRule>
    <cfRule type="cellIs" dxfId="196" priority="347" operator="equal">
      <formula>"Mayor"</formula>
    </cfRule>
    <cfRule type="cellIs" dxfId="195" priority="348" operator="equal">
      <formula>"Moderado"</formula>
    </cfRule>
    <cfRule type="cellIs" dxfId="194" priority="350" operator="equal">
      <formula>"Leve"</formula>
    </cfRule>
  </conditionalFormatting>
  <conditionalFormatting sqref="L173">
    <cfRule type="cellIs" dxfId="193" priority="336" operator="equal">
      <formula>"Leve"</formula>
    </cfRule>
    <cfRule type="cellIs" dxfId="192" priority="332" operator="equal">
      <formula>"Catastrófico"</formula>
    </cfRule>
    <cfRule type="cellIs" dxfId="191" priority="335" operator="equal">
      <formula>"Menor"</formula>
    </cfRule>
    <cfRule type="cellIs" dxfId="190" priority="334" operator="equal">
      <formula>"Moderado"</formula>
    </cfRule>
    <cfRule type="cellIs" dxfId="189" priority="333" operator="equal">
      <formula>"Mayor"</formula>
    </cfRule>
  </conditionalFormatting>
  <conditionalFormatting sqref="L179">
    <cfRule type="cellIs" dxfId="188" priority="320" operator="equal">
      <formula>"Moderado"</formula>
    </cfRule>
    <cfRule type="cellIs" dxfId="187" priority="321" operator="equal">
      <formula>"Menor"</formula>
    </cfRule>
    <cfRule type="cellIs" dxfId="186" priority="322" operator="equal">
      <formula>"Leve"</formula>
    </cfRule>
    <cfRule type="cellIs" dxfId="185" priority="319" operator="equal">
      <formula>"Mayor"</formula>
    </cfRule>
    <cfRule type="cellIs" dxfId="184" priority="318" operator="equal">
      <formula>"Catastrófico"</formula>
    </cfRule>
  </conditionalFormatting>
  <conditionalFormatting sqref="L185">
    <cfRule type="cellIs" dxfId="183" priority="308" operator="equal">
      <formula>"Leve"</formula>
    </cfRule>
    <cfRule type="cellIs" dxfId="182" priority="304" operator="equal">
      <formula>"Catastrófico"</formula>
    </cfRule>
    <cfRule type="cellIs" dxfId="181" priority="305" operator="equal">
      <formula>"Mayor"</formula>
    </cfRule>
    <cfRule type="cellIs" dxfId="180" priority="307" operator="equal">
      <formula>"Menor"</formula>
    </cfRule>
    <cfRule type="cellIs" dxfId="179" priority="306" operator="equal">
      <formula>"Moderado"</formula>
    </cfRule>
  </conditionalFormatting>
  <conditionalFormatting sqref="L191">
    <cfRule type="cellIs" dxfId="178" priority="293" operator="equal">
      <formula>"Menor"</formula>
    </cfRule>
    <cfRule type="cellIs" dxfId="177" priority="290" operator="equal">
      <formula>"Catastrófico"</formula>
    </cfRule>
    <cfRule type="cellIs" dxfId="176" priority="291" operator="equal">
      <formula>"Mayor"</formula>
    </cfRule>
    <cfRule type="cellIs" dxfId="175" priority="292" operator="equal">
      <formula>"Moderado"</formula>
    </cfRule>
    <cfRule type="cellIs" dxfId="174" priority="294" operator="equal">
      <formula>"Leve"</formula>
    </cfRule>
  </conditionalFormatting>
  <conditionalFormatting sqref="L197">
    <cfRule type="cellIs" dxfId="173" priority="279" operator="equal">
      <formula>"Menor"</formula>
    </cfRule>
    <cfRule type="cellIs" dxfId="172" priority="278" operator="equal">
      <formula>"Moderado"</formula>
    </cfRule>
    <cfRule type="cellIs" dxfId="171" priority="277" operator="equal">
      <formula>"Mayor"</formula>
    </cfRule>
    <cfRule type="cellIs" dxfId="170" priority="276" operator="equal">
      <formula>"Catastrófico"</formula>
    </cfRule>
    <cfRule type="cellIs" dxfId="169" priority="280" operator="equal">
      <formula>"Leve"</formula>
    </cfRule>
  </conditionalFormatting>
  <conditionalFormatting sqref="L203">
    <cfRule type="cellIs" dxfId="168" priority="252" operator="equal">
      <formula>"Leve"</formula>
    </cfRule>
    <cfRule type="cellIs" dxfId="167" priority="248" operator="equal">
      <formula>"Catastrófico"</formula>
    </cfRule>
    <cfRule type="cellIs" dxfId="166" priority="249" operator="equal">
      <formula>"Mayor"</formula>
    </cfRule>
    <cfRule type="cellIs" dxfId="165" priority="250" operator="equal">
      <formula>"Moderado"</formula>
    </cfRule>
    <cfRule type="cellIs" dxfId="164" priority="251" operator="equal">
      <formula>"Menor"</formula>
    </cfRule>
  </conditionalFormatting>
  <conditionalFormatting sqref="L209">
    <cfRule type="cellIs" dxfId="163" priority="236" operator="equal">
      <formula>"Moderado"</formula>
    </cfRule>
    <cfRule type="cellIs" dxfId="162" priority="235" operator="equal">
      <formula>"Mayor"</formula>
    </cfRule>
    <cfRule type="cellIs" dxfId="161" priority="237" operator="equal">
      <formula>"Menor"</formula>
    </cfRule>
    <cfRule type="cellIs" dxfId="160" priority="238" operator="equal">
      <formula>"Leve"</formula>
    </cfRule>
    <cfRule type="cellIs" dxfId="159" priority="234" operator="equal">
      <formula>"Catastrófico"</formula>
    </cfRule>
  </conditionalFormatting>
  <conditionalFormatting sqref="L215">
    <cfRule type="cellIs" dxfId="158" priority="220" operator="equal">
      <formula>"Catastrófico"</formula>
    </cfRule>
    <cfRule type="cellIs" dxfId="157" priority="224" operator="equal">
      <formula>"Leve"</formula>
    </cfRule>
    <cfRule type="cellIs" dxfId="156" priority="221" operator="equal">
      <formula>"Mayor"</formula>
    </cfRule>
    <cfRule type="cellIs" dxfId="155" priority="223" operator="equal">
      <formula>"Menor"</formula>
    </cfRule>
    <cfRule type="cellIs" dxfId="154" priority="222" operator="equal">
      <formula>"Moderado"</formula>
    </cfRule>
  </conditionalFormatting>
  <conditionalFormatting sqref="N10">
    <cfRule type="cellIs" dxfId="153" priority="1042" operator="equal">
      <formula>"Bajo"</formula>
    </cfRule>
    <cfRule type="cellIs" dxfId="152" priority="1040" operator="equal">
      <formula>"Alto"</formula>
    </cfRule>
    <cfRule type="cellIs" dxfId="151" priority="1041" operator="equal">
      <formula>"Moderado"</formula>
    </cfRule>
    <cfRule type="cellIs" dxfId="150" priority="1039" operator="equal">
      <formula>"Extremo"</formula>
    </cfRule>
  </conditionalFormatting>
  <conditionalFormatting sqref="N16">
    <cfRule type="cellIs" dxfId="149" priority="972" operator="equal">
      <formula>"Bajo"</formula>
    </cfRule>
    <cfRule type="cellIs" dxfId="148" priority="971" operator="equal">
      <formula>"Moderado"</formula>
    </cfRule>
    <cfRule type="cellIs" dxfId="147" priority="969" operator="equal">
      <formula>"Extremo"</formula>
    </cfRule>
    <cfRule type="cellIs" dxfId="146" priority="970" operator="equal">
      <formula>"Alto"</formula>
    </cfRule>
  </conditionalFormatting>
  <conditionalFormatting sqref="N22">
    <cfRule type="cellIs" dxfId="145" priority="942" operator="equal">
      <formula>"Alto"</formula>
    </cfRule>
    <cfRule type="cellIs" dxfId="144" priority="941" operator="equal">
      <formula>"Extremo"</formula>
    </cfRule>
    <cfRule type="cellIs" dxfId="143" priority="944" operator="equal">
      <formula>"Bajo"</formula>
    </cfRule>
    <cfRule type="cellIs" dxfId="142" priority="943" operator="equal">
      <formula>"Moderado"</formula>
    </cfRule>
  </conditionalFormatting>
  <conditionalFormatting sqref="N28">
    <cfRule type="cellIs" dxfId="141" priority="915" operator="equal">
      <formula>"Moderado"</formula>
    </cfRule>
    <cfRule type="cellIs" dxfId="140" priority="914" operator="equal">
      <formula>"Alto"</formula>
    </cfRule>
    <cfRule type="cellIs" dxfId="139" priority="916" operator="equal">
      <formula>"Bajo"</formula>
    </cfRule>
    <cfRule type="cellIs" dxfId="138" priority="913" operator="equal">
      <formula>"Extremo"</formula>
    </cfRule>
  </conditionalFormatting>
  <conditionalFormatting sqref="N34">
    <cfRule type="cellIs" dxfId="137" priority="887" operator="equal">
      <formula>"Moderado"</formula>
    </cfRule>
    <cfRule type="cellIs" dxfId="136" priority="885" operator="equal">
      <formula>"Extremo"</formula>
    </cfRule>
    <cfRule type="cellIs" dxfId="135" priority="886" operator="equal">
      <formula>"Alto"</formula>
    </cfRule>
    <cfRule type="cellIs" dxfId="134" priority="888" operator="equal">
      <formula>"Bajo"</formula>
    </cfRule>
  </conditionalFormatting>
  <conditionalFormatting sqref="N40">
    <cfRule type="cellIs" dxfId="133" priority="857" operator="equal">
      <formula>"Extremo"</formula>
    </cfRule>
    <cfRule type="cellIs" dxfId="132" priority="859" operator="equal">
      <formula>"Moderado"</formula>
    </cfRule>
    <cfRule type="cellIs" dxfId="131" priority="860" operator="equal">
      <formula>"Bajo"</formula>
    </cfRule>
    <cfRule type="cellIs" dxfId="130" priority="858" operator="equal">
      <formula>"Alto"</formula>
    </cfRule>
  </conditionalFormatting>
  <conditionalFormatting sqref="N46">
    <cfRule type="cellIs" dxfId="129" priority="830" operator="equal">
      <formula>"Alto"</formula>
    </cfRule>
    <cfRule type="cellIs" dxfId="128" priority="832" operator="equal">
      <formula>"Bajo"</formula>
    </cfRule>
    <cfRule type="cellIs" dxfId="127" priority="831" operator="equal">
      <formula>"Moderado"</formula>
    </cfRule>
    <cfRule type="cellIs" dxfId="126" priority="829" operator="equal">
      <formula>"Extremo"</formula>
    </cfRule>
  </conditionalFormatting>
  <conditionalFormatting sqref="N52">
    <cfRule type="cellIs" dxfId="125" priority="711" operator="equal">
      <formula>"Extremo"</formula>
    </cfRule>
    <cfRule type="cellIs" dxfId="124" priority="712" operator="equal">
      <formula>"Alto"</formula>
    </cfRule>
    <cfRule type="cellIs" dxfId="123" priority="714" operator="equal">
      <formula>"Bajo"</formula>
    </cfRule>
    <cfRule type="cellIs" dxfId="122" priority="713" operator="equal">
      <formula>"Moderado"</formula>
    </cfRule>
  </conditionalFormatting>
  <conditionalFormatting sqref="N58">
    <cfRule type="cellIs" dxfId="121" priority="803" operator="equal">
      <formula>"Moderado"</formula>
    </cfRule>
    <cfRule type="cellIs" dxfId="120" priority="802" operator="equal">
      <formula>"Alto"</formula>
    </cfRule>
    <cfRule type="cellIs" dxfId="119" priority="804" operator="equal">
      <formula>"Bajo"</formula>
    </cfRule>
    <cfRule type="cellIs" dxfId="118" priority="801" operator="equal">
      <formula>"Extremo"</formula>
    </cfRule>
  </conditionalFormatting>
  <conditionalFormatting sqref="N64">
    <cfRule type="cellIs" dxfId="117" priority="776" operator="equal">
      <formula>"Bajo"</formula>
    </cfRule>
    <cfRule type="cellIs" dxfId="116" priority="775" operator="equal">
      <formula>"Moderado"</formula>
    </cfRule>
    <cfRule type="cellIs" dxfId="115" priority="774" operator="equal">
      <formula>"Alto"</formula>
    </cfRule>
    <cfRule type="cellIs" dxfId="114" priority="773" operator="equal">
      <formula>"Extremo"</formula>
    </cfRule>
  </conditionalFormatting>
  <conditionalFormatting sqref="N70">
    <cfRule type="cellIs" dxfId="113" priority="688" operator="equal">
      <formula>"Alto"</formula>
    </cfRule>
    <cfRule type="cellIs" dxfId="112" priority="689" operator="equal">
      <formula>"Moderado"</formula>
    </cfRule>
    <cfRule type="cellIs" dxfId="111" priority="690" operator="equal">
      <formula>"Bajo"</formula>
    </cfRule>
    <cfRule type="cellIs" dxfId="110" priority="687" operator="equal">
      <formula>"Extremo"</formula>
    </cfRule>
  </conditionalFormatting>
  <conditionalFormatting sqref="N76">
    <cfRule type="cellIs" dxfId="109" priority="659" operator="equal">
      <formula>"Extremo"</formula>
    </cfRule>
    <cfRule type="cellIs" dxfId="108" priority="660" operator="equal">
      <formula>"Alto"</formula>
    </cfRule>
    <cfRule type="cellIs" dxfId="107" priority="661" operator="equal">
      <formula>"Moderado"</formula>
    </cfRule>
    <cfRule type="cellIs" dxfId="106" priority="662" operator="equal">
      <formula>"Bajo"</formula>
    </cfRule>
  </conditionalFormatting>
  <conditionalFormatting sqref="N82">
    <cfRule type="cellIs" dxfId="105" priority="617" operator="equal">
      <formula>"Extremo"</formula>
    </cfRule>
    <cfRule type="cellIs" dxfId="104" priority="618" operator="equal">
      <formula>"Alto"</formula>
    </cfRule>
    <cfRule type="cellIs" dxfId="103" priority="619" operator="equal">
      <formula>"Moderado"</formula>
    </cfRule>
    <cfRule type="cellIs" dxfId="102" priority="620" operator="equal">
      <formula>"Bajo"</formula>
    </cfRule>
  </conditionalFormatting>
  <conditionalFormatting sqref="N89">
    <cfRule type="cellIs" dxfId="101" priority="558" operator="equal">
      <formula>"Alto"</formula>
    </cfRule>
    <cfRule type="cellIs" dxfId="100" priority="560" operator="equal">
      <formula>"Bajo"</formula>
    </cfRule>
    <cfRule type="cellIs" dxfId="99" priority="557" operator="equal">
      <formula>"Extremo"</formula>
    </cfRule>
    <cfRule type="cellIs" dxfId="98" priority="559" operator="equal">
      <formula>"Moderado"</formula>
    </cfRule>
  </conditionalFormatting>
  <conditionalFormatting sqref="N95">
    <cfRule type="cellIs" dxfId="97" priority="536" operator="equal">
      <formula>"Bajo"</formula>
    </cfRule>
    <cfRule type="cellIs" dxfId="96" priority="534" operator="equal">
      <formula>"Alto"</formula>
    </cfRule>
    <cfRule type="cellIs" dxfId="95" priority="535" operator="equal">
      <formula>"Moderado"</formula>
    </cfRule>
    <cfRule type="cellIs" dxfId="94" priority="533" operator="equal">
      <formula>"Extremo"</formula>
    </cfRule>
  </conditionalFormatting>
  <conditionalFormatting sqref="N101">
    <cfRule type="cellIs" dxfId="93" priority="522" operator="equal">
      <formula>"Bajo"</formula>
    </cfRule>
    <cfRule type="cellIs" dxfId="92" priority="520" operator="equal">
      <formula>"Alto"</formula>
    </cfRule>
    <cfRule type="cellIs" dxfId="91" priority="521" operator="equal">
      <formula>"Moderado"</formula>
    </cfRule>
    <cfRule type="cellIs" dxfId="90" priority="519" operator="equal">
      <formula>"Extremo"</formula>
    </cfRule>
  </conditionalFormatting>
  <conditionalFormatting sqref="N107">
    <cfRule type="cellIs" dxfId="89" priority="508" operator="equal">
      <formula>"Bajo"</formula>
    </cfRule>
    <cfRule type="cellIs" dxfId="88" priority="505" operator="equal">
      <formula>"Extremo"</formula>
    </cfRule>
    <cfRule type="cellIs" dxfId="87" priority="507" operator="equal">
      <formula>"Moderado"</formula>
    </cfRule>
    <cfRule type="cellIs" dxfId="86" priority="506" operator="equal">
      <formula>"Alto"</formula>
    </cfRule>
  </conditionalFormatting>
  <conditionalFormatting sqref="N113">
    <cfRule type="cellIs" dxfId="85" priority="492" operator="equal">
      <formula>"Alto"</formula>
    </cfRule>
    <cfRule type="cellIs" dxfId="84" priority="491" operator="equal">
      <formula>"Extremo"</formula>
    </cfRule>
    <cfRule type="cellIs" dxfId="83" priority="493" operator="equal">
      <formula>"Moderado"</formula>
    </cfRule>
    <cfRule type="cellIs" dxfId="82" priority="494" operator="equal">
      <formula>"Bajo"</formula>
    </cfRule>
  </conditionalFormatting>
  <conditionalFormatting sqref="N119">
    <cfRule type="cellIs" dxfId="81" priority="480" operator="equal">
      <formula>"Bajo"</formula>
    </cfRule>
    <cfRule type="cellIs" dxfId="80" priority="477" operator="equal">
      <formula>"Extremo"</formula>
    </cfRule>
    <cfRule type="cellIs" dxfId="79" priority="479" operator="equal">
      <formula>"Moderado"</formula>
    </cfRule>
    <cfRule type="cellIs" dxfId="78" priority="478" operator="equal">
      <formula>"Alto"</formula>
    </cfRule>
  </conditionalFormatting>
  <conditionalFormatting sqref="N125">
    <cfRule type="cellIs" dxfId="77" priority="452" operator="equal">
      <formula>"Bajo"</formula>
    </cfRule>
    <cfRule type="cellIs" dxfId="76" priority="451" operator="equal">
      <formula>"Moderado"</formula>
    </cfRule>
    <cfRule type="cellIs" dxfId="75" priority="449" operator="equal">
      <formula>"Extremo"</formula>
    </cfRule>
    <cfRule type="cellIs" dxfId="74" priority="450" operator="equal">
      <formula>"Alto"</formula>
    </cfRule>
  </conditionalFormatting>
  <conditionalFormatting sqref="N131">
    <cfRule type="cellIs" dxfId="73" priority="437" operator="equal">
      <formula>"Moderado"</formula>
    </cfRule>
    <cfRule type="cellIs" dxfId="72" priority="438" operator="equal">
      <formula>"Bajo"</formula>
    </cfRule>
    <cfRule type="cellIs" dxfId="71" priority="436" operator="equal">
      <formula>"Alto"</formula>
    </cfRule>
    <cfRule type="cellIs" dxfId="70" priority="435" operator="equal">
      <formula>"Extremo"</formula>
    </cfRule>
  </conditionalFormatting>
  <conditionalFormatting sqref="N137">
    <cfRule type="cellIs" dxfId="69" priority="424" operator="equal">
      <formula>"Bajo"</formula>
    </cfRule>
    <cfRule type="cellIs" dxfId="68" priority="423" operator="equal">
      <formula>"Moderado"</formula>
    </cfRule>
    <cfRule type="cellIs" dxfId="67" priority="422" operator="equal">
      <formula>"Alto"</formula>
    </cfRule>
    <cfRule type="cellIs" dxfId="66" priority="421" operator="equal">
      <formula>"Extremo"</formula>
    </cfRule>
  </conditionalFormatting>
  <conditionalFormatting sqref="N143">
    <cfRule type="cellIs" dxfId="65" priority="396" operator="equal">
      <formula>"Bajo"</formula>
    </cfRule>
    <cfRule type="cellIs" dxfId="64" priority="395" operator="equal">
      <formula>"Moderado"</formula>
    </cfRule>
    <cfRule type="cellIs" dxfId="63" priority="393" operator="equal">
      <formula>"Extremo"</formula>
    </cfRule>
    <cfRule type="cellIs" dxfId="62" priority="394" operator="equal">
      <formula>"Alto"</formula>
    </cfRule>
  </conditionalFormatting>
  <conditionalFormatting sqref="N149">
    <cfRule type="cellIs" dxfId="61" priority="382" operator="equal">
      <formula>"Bajo"</formula>
    </cfRule>
    <cfRule type="cellIs" dxfId="60" priority="381" operator="equal">
      <formula>"Moderado"</formula>
    </cfRule>
    <cfRule type="cellIs" dxfId="59" priority="380" operator="equal">
      <formula>"Alto"</formula>
    </cfRule>
    <cfRule type="cellIs" dxfId="58" priority="379" operator="equal">
      <formula>"Extremo"</formula>
    </cfRule>
  </conditionalFormatting>
  <conditionalFormatting sqref="N155">
    <cfRule type="cellIs" dxfId="57" priority="365" operator="equal">
      <formula>"Extremo"</formula>
    </cfRule>
    <cfRule type="cellIs" dxfId="56" priority="368" operator="equal">
      <formula>"Bajo"</formula>
    </cfRule>
    <cfRule type="cellIs" dxfId="55" priority="367" operator="equal">
      <formula>"Moderado"</formula>
    </cfRule>
    <cfRule type="cellIs" dxfId="54" priority="366" operator="equal">
      <formula>"Alto"</formula>
    </cfRule>
  </conditionalFormatting>
  <conditionalFormatting sqref="N161">
    <cfRule type="cellIs" dxfId="53" priority="352" operator="equal">
      <formula>"Alto"</formula>
    </cfRule>
    <cfRule type="cellIs" dxfId="52" priority="353" operator="equal">
      <formula>"Moderado"</formula>
    </cfRule>
    <cfRule type="cellIs" dxfId="51" priority="351" operator="equal">
      <formula>"Extremo"</formula>
    </cfRule>
    <cfRule type="cellIs" dxfId="50" priority="354" operator="equal">
      <formula>"Bajo"</formula>
    </cfRule>
  </conditionalFormatting>
  <conditionalFormatting sqref="N167">
    <cfRule type="cellIs" dxfId="49" priority="339" operator="equal">
      <formula>"Moderado"</formula>
    </cfRule>
    <cfRule type="cellIs" dxfId="48" priority="340" operator="equal">
      <formula>"Bajo"</formula>
    </cfRule>
    <cfRule type="cellIs" dxfId="47" priority="338" operator="equal">
      <formula>"Alto"</formula>
    </cfRule>
    <cfRule type="cellIs" dxfId="46" priority="337" operator="equal">
      <formula>"Extremo"</formula>
    </cfRule>
  </conditionalFormatting>
  <conditionalFormatting sqref="N173">
    <cfRule type="cellIs" dxfId="45" priority="324" operator="equal">
      <formula>"Alto"</formula>
    </cfRule>
    <cfRule type="cellIs" dxfId="44" priority="326" operator="equal">
      <formula>"Bajo"</formula>
    </cfRule>
    <cfRule type="cellIs" dxfId="43" priority="323" operator="equal">
      <formula>"Extremo"</formula>
    </cfRule>
    <cfRule type="cellIs" dxfId="42" priority="325" operator="equal">
      <formula>"Moderado"</formula>
    </cfRule>
  </conditionalFormatting>
  <conditionalFormatting sqref="N179">
    <cfRule type="cellIs" dxfId="41" priority="312" operator="equal">
      <formula>"Bajo"</formula>
    </cfRule>
    <cfRule type="cellIs" dxfId="40" priority="309" operator="equal">
      <formula>"Extremo"</formula>
    </cfRule>
    <cfRule type="cellIs" dxfId="39" priority="311" operator="equal">
      <formula>"Moderado"</formula>
    </cfRule>
    <cfRule type="cellIs" dxfId="38" priority="310" operator="equal">
      <formula>"Alto"</formula>
    </cfRule>
  </conditionalFormatting>
  <conditionalFormatting sqref="N185">
    <cfRule type="cellIs" dxfId="37" priority="296" operator="equal">
      <formula>"Alto"</formula>
    </cfRule>
    <cfRule type="cellIs" dxfId="36" priority="295" operator="equal">
      <formula>"Extremo"</formula>
    </cfRule>
    <cfRule type="cellIs" dxfId="35" priority="297" operator="equal">
      <formula>"Moderado"</formula>
    </cfRule>
    <cfRule type="cellIs" dxfId="34" priority="298" operator="equal">
      <formula>"Bajo"</formula>
    </cfRule>
  </conditionalFormatting>
  <conditionalFormatting sqref="N191">
    <cfRule type="cellIs" dxfId="33" priority="283" operator="equal">
      <formula>"Moderado"</formula>
    </cfRule>
    <cfRule type="cellIs" dxfId="32" priority="282" operator="equal">
      <formula>"Alto"</formula>
    </cfRule>
    <cfRule type="cellIs" dxfId="31" priority="284" operator="equal">
      <formula>"Bajo"</formula>
    </cfRule>
    <cfRule type="cellIs" dxfId="30" priority="281" operator="equal">
      <formula>"Extremo"</formula>
    </cfRule>
  </conditionalFormatting>
  <conditionalFormatting sqref="N197">
    <cfRule type="cellIs" dxfId="29" priority="270" operator="equal">
      <formula>"Bajo"</formula>
    </cfRule>
    <cfRule type="cellIs" dxfId="28" priority="269" operator="equal">
      <formula>"Moderado"</formula>
    </cfRule>
    <cfRule type="cellIs" dxfId="27" priority="268" operator="equal">
      <formula>"Alto"</formula>
    </cfRule>
    <cfRule type="cellIs" dxfId="26" priority="267" operator="equal">
      <formula>"Extremo"</formula>
    </cfRule>
  </conditionalFormatting>
  <conditionalFormatting sqref="N203">
    <cfRule type="cellIs" dxfId="25" priority="240" operator="equal">
      <formula>"Alto"</formula>
    </cfRule>
    <cfRule type="cellIs" dxfId="24" priority="241" operator="equal">
      <formula>"Moderado"</formula>
    </cfRule>
    <cfRule type="cellIs" dxfId="23" priority="242" operator="equal">
      <formula>"Bajo"</formula>
    </cfRule>
    <cfRule type="cellIs" dxfId="22" priority="239" operator="equal">
      <formula>"Extremo"</formula>
    </cfRule>
  </conditionalFormatting>
  <conditionalFormatting sqref="N209">
    <cfRule type="cellIs" dxfId="21" priority="226" operator="equal">
      <formula>"Alto"</formula>
    </cfRule>
    <cfRule type="cellIs" dxfId="20" priority="227" operator="equal">
      <formula>"Moderado"</formula>
    </cfRule>
    <cfRule type="cellIs" dxfId="19" priority="225" operator="equal">
      <formula>"Extremo"</formula>
    </cfRule>
    <cfRule type="cellIs" dxfId="18" priority="228" operator="equal">
      <formula>"Bajo"</formula>
    </cfRule>
  </conditionalFormatting>
  <conditionalFormatting sqref="N215">
    <cfRule type="cellIs" dxfId="17" priority="211" operator="equal">
      <formula>"Extremo"</formula>
    </cfRule>
    <cfRule type="cellIs" dxfId="16" priority="214" operator="equal">
      <formula>"Bajo"</formula>
    </cfRule>
    <cfRule type="cellIs" dxfId="15" priority="212" operator="equal">
      <formula>"Alto"</formula>
    </cfRule>
    <cfRule type="cellIs" dxfId="14" priority="213" operator="equal">
      <formula>"Moderado"</formula>
    </cfRule>
  </conditionalFormatting>
  <conditionalFormatting sqref="Y10:Y220">
    <cfRule type="cellIs" dxfId="13" priority="797" operator="equal">
      <formula>"Alta"</formula>
    </cfRule>
    <cfRule type="cellIs" dxfId="12" priority="796" operator="equal">
      <formula>"Muy Alta"</formula>
    </cfRule>
    <cfRule type="cellIs" dxfId="11" priority="800" operator="equal">
      <formula>"Muy Baja"</formula>
    </cfRule>
    <cfRule type="cellIs" dxfId="10" priority="799" operator="equal">
      <formula>"Baja"</formula>
    </cfRule>
    <cfRule type="cellIs" dxfId="9" priority="798" operator="equal">
      <formula>"Media"</formula>
    </cfRule>
  </conditionalFormatting>
  <conditionalFormatting sqref="AA10:AA220">
    <cfRule type="cellIs" dxfId="8" priority="791" operator="equal">
      <formula>"Catastrófico"</formula>
    </cfRule>
    <cfRule type="cellIs" dxfId="7" priority="792" operator="equal">
      <formula>"Mayor"</formula>
    </cfRule>
    <cfRule type="cellIs" dxfId="6" priority="795" operator="equal">
      <formula>"Leve"</formula>
    </cfRule>
    <cfRule type="cellIs" dxfId="5" priority="794" operator="equal">
      <formula>"Menor"</formula>
    </cfRule>
    <cfRule type="cellIs" dxfId="4" priority="793" operator="equal">
      <formula>"Moderado"</formula>
    </cfRule>
  </conditionalFormatting>
  <conditionalFormatting sqref="AC10:AC220">
    <cfRule type="cellIs" dxfId="3" priority="592" operator="equal">
      <formula>"Bajo"</formula>
    </cfRule>
    <cfRule type="cellIs" dxfId="2" priority="590" operator="equal">
      <formula>"Alto"</formula>
    </cfRule>
    <cfRule type="cellIs" dxfId="1" priority="589" operator="equal">
      <formula>"Extremo"</formula>
    </cfRule>
    <cfRule type="cellIs" dxfId="0" priority="591" operator="equal">
      <formula>"Moderado"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 AJ58:AJ59 AJ61:AJ62 AJ64:AJ65 AJ67:AJ68 AJ52:AJ53 AJ55:AJ56</xm:sqref>
        </x14:dataValidation>
        <x14:dataValidation type="list" allowBlank="1" showInputMessage="1" showErrorMessage="1" xr:uid="{00000000-0002-0000-0100-000001000000}">
          <x14:formula1>
            <xm:f>'Opciones Tratamiento'!$B$13:$B$19</xm:f>
          </x14:formula1>
          <xm:sqref>F10:F82 F89:F220</xm:sqref>
        </x14:dataValidation>
        <x14:dataValidation type="list" allowBlank="1" showInputMessage="1" showErrorMessage="1" xr:uid="{00000000-0002-0000-0100-000002000000}">
          <x14:formula1>
            <xm:f>'Opciones Tratamiento'!$E$2:$E$4</xm:f>
          </x14:formula1>
          <xm:sqref>B10:B82 B89:B220</xm:sqref>
        </x14:dataValidation>
        <x14:dataValidation type="list" allowBlank="1" showInputMessage="1" showErrorMessage="1" xr:uid="{00000000-0002-0000-0100-000003000000}">
          <x14:formula1>
            <xm:f>'Tabla Impacto'!$F$210:$F$221</xm:f>
          </x14:formula1>
          <xm:sqref>J10:J82 J89:J220</xm:sqref>
        </x14:dataValidation>
        <x14:dataValidation type="list" allowBlank="1" showInputMessage="1" showErrorMessage="1" xr:uid="{00000000-0002-0000-0100-000004000000}">
          <x14:formula1>
            <xm:f>'Tabla Valoración controles'!$D$4:$D$6</xm:f>
          </x14:formula1>
          <xm:sqref>R10:R220</xm:sqref>
        </x14:dataValidation>
        <x14:dataValidation type="list" allowBlank="1" showInputMessage="1" showErrorMessage="1" xr:uid="{00000000-0002-0000-0100-000005000000}">
          <x14:formula1>
            <xm:f>'Tabla Valoración controles'!$D$7:$D$8</xm:f>
          </x14:formula1>
          <xm:sqref>S10:S220</xm:sqref>
        </x14:dataValidation>
        <x14:dataValidation type="list" allowBlank="1" showInputMessage="1" showErrorMessage="1" xr:uid="{00000000-0002-0000-0100-000006000000}">
          <x14:formula1>
            <xm:f>'Tabla Valoración controles'!$D$9:$D$10</xm:f>
          </x14:formula1>
          <xm:sqref>U10:U220</xm:sqref>
        </x14:dataValidation>
        <x14:dataValidation type="list" allowBlank="1" showInputMessage="1" showErrorMessage="1" xr:uid="{00000000-0002-0000-0100-000007000000}">
          <x14:formula1>
            <xm:f>'Tabla Valoración controles'!$D$11:$D$12</xm:f>
          </x14:formula1>
          <xm:sqref>V10:V220</xm:sqref>
        </x14:dataValidation>
        <x14:dataValidation type="list" allowBlank="1" showInputMessage="1" showErrorMessage="1" xr:uid="{00000000-0002-0000-0100-000008000000}">
          <x14:formula1>
            <xm:f>'Tabla Valoración controles'!$D$13:$D$14</xm:f>
          </x14:formula1>
          <xm:sqref>W10:W220</xm:sqref>
        </x14:dataValidation>
        <x14:dataValidation type="list" allowBlank="1" showInputMessage="1" showErrorMessage="1" xr:uid="{00000000-0002-0000-0100-000009000000}">
          <x14:formula1>
            <xm:f>'Opciones Tratamiento'!$B$2:$B$5</xm:f>
          </x14:formula1>
          <xm:sqref>AD10:AD220</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AE10:AE220</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AF10:AF220</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AG10:AG220</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AH10:AH220</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workbookViewId="0"/>
  </sheetViews>
  <sheetFormatPr baseColWidth="10" defaultRowHeight="15" x14ac:dyDescent="0.2"/>
  <cols>
    <col min="2" max="39" width="5.6640625" customWidth="1"/>
    <col min="41" max="46" width="5.6640625" customWidth="1"/>
  </cols>
  <sheetData>
    <row r="1" spans="1:99"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
      <c r="A2" s="83"/>
      <c r="B2" s="331" t="s">
        <v>159</v>
      </c>
      <c r="C2" s="331"/>
      <c r="D2" s="331"/>
      <c r="E2" s="331"/>
      <c r="F2" s="331"/>
      <c r="G2" s="331"/>
      <c r="H2" s="331"/>
      <c r="I2" s="331"/>
      <c r="J2" s="299"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
      <c r="A3" s="83"/>
      <c r="B3" s="331"/>
      <c r="C3" s="331"/>
      <c r="D3" s="331"/>
      <c r="E3" s="331"/>
      <c r="F3" s="331"/>
      <c r="G3" s="331"/>
      <c r="H3" s="331"/>
      <c r="I3" s="331"/>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
      <c r="A4" s="83"/>
      <c r="B4" s="331"/>
      <c r="C4" s="331"/>
      <c r="D4" s="331"/>
      <c r="E4" s="331"/>
      <c r="F4" s="331"/>
      <c r="G4" s="331"/>
      <c r="H4" s="331"/>
      <c r="I4" s="331"/>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6" thickBot="1" x14ac:dyDescent="0.2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
      <c r="A6" s="83"/>
      <c r="B6" s="246" t="s">
        <v>3</v>
      </c>
      <c r="C6" s="246"/>
      <c r="D6" s="247"/>
      <c r="E6" s="284" t="s">
        <v>114</v>
      </c>
      <c r="F6" s="285"/>
      <c r="G6" s="285"/>
      <c r="H6" s="285"/>
      <c r="I6" s="286"/>
      <c r="J6" s="295" t="str">
        <f>IF(AND('Mapa final'!$H$10="Muy Alta",'Mapa final'!$L$10="Leve"),CONCATENATE("R",'Mapa final'!$A$10),"")</f>
        <v>R1</v>
      </c>
      <c r="K6" s="296"/>
      <c r="L6" s="296" t="str">
        <f>IF(AND('Mapa final'!$H$16="Muy Alta",'Mapa final'!$L$16="Leve"),CONCATENATE("R",'Mapa final'!$A$16),"")</f>
        <v/>
      </c>
      <c r="M6" s="296"/>
      <c r="N6" s="296" t="str">
        <f>IF(AND('Mapa final'!$H$22="Muy Alta",'Mapa final'!$L$22="Leve"),CONCATENATE("R",'Mapa final'!$A$22),"")</f>
        <v/>
      </c>
      <c r="O6" s="298"/>
      <c r="P6" s="295" t="str">
        <f>IF(AND('Mapa final'!$H$10="Muy Alta",'Mapa final'!$L$10="Menor"),CONCATENATE("R",'Mapa final'!$A$10),"")</f>
        <v/>
      </c>
      <c r="Q6" s="296"/>
      <c r="R6" s="296" t="str">
        <f>IF(AND('Mapa final'!$H$16="Muy Alta",'Mapa final'!$L$16="Menor"),CONCATENATE("R",'Mapa final'!$A$16),"")</f>
        <v/>
      </c>
      <c r="S6" s="296"/>
      <c r="T6" s="296" t="str">
        <f>IF(AND('Mapa final'!$H$22="Muy Alta",'Mapa final'!$L$22="Menor"),CONCATENATE("R",'Mapa final'!$A$22),"")</f>
        <v/>
      </c>
      <c r="U6" s="298"/>
      <c r="V6" s="295" t="str">
        <f>IF(AND('Mapa final'!$H$10="Muy Alta",'Mapa final'!$L$10="Moderado"),CONCATENATE("R",'Mapa final'!$A$10),"")</f>
        <v/>
      </c>
      <c r="W6" s="296"/>
      <c r="X6" s="296" t="str">
        <f>IF(AND('Mapa final'!$H$16="Muy Alta",'Mapa final'!$L$16="Moderado"),CONCATENATE("R",'Mapa final'!$A$16),"")</f>
        <v/>
      </c>
      <c r="Y6" s="296"/>
      <c r="Z6" s="296" t="str">
        <f>IF(AND('Mapa final'!$H$22="Muy Alta",'Mapa final'!$L$22="Moderado"),CONCATENATE("R",'Mapa final'!$A$22),"")</f>
        <v/>
      </c>
      <c r="AA6" s="298"/>
      <c r="AB6" s="295" t="str">
        <f>IF(AND('Mapa final'!$H$10="Muy Alta",'Mapa final'!$L$10="Mayor"),CONCATENATE("R",'Mapa final'!$A$10),"")</f>
        <v/>
      </c>
      <c r="AC6" s="296"/>
      <c r="AD6" s="296" t="str">
        <f>IF(AND('Mapa final'!$H$16="Muy Alta",'Mapa final'!$L$16="Mayor"),CONCATENATE("R",'Mapa final'!$A$16),"")</f>
        <v/>
      </c>
      <c r="AE6" s="296"/>
      <c r="AF6" s="296" t="str">
        <f>IF(AND('Mapa final'!$H$22="Muy Alta",'Mapa final'!$L$22="Mayor"),CONCATENATE("R",'Mapa final'!$A$22),"")</f>
        <v/>
      </c>
      <c r="AG6" s="298"/>
      <c r="AH6" s="310" t="str">
        <f>IF(AND('Mapa final'!$H$10="Muy Alta",'Mapa final'!$L$10="Catastrófico"),CONCATENATE("R",'Mapa final'!$A$10),"")</f>
        <v/>
      </c>
      <c r="AI6" s="311"/>
      <c r="AJ6" s="311" t="str">
        <f>IF(AND('Mapa final'!$H$16="Muy Alta",'Mapa final'!$L$16="Catastrófico"),CONCATENATE("R",'Mapa final'!$A$16),"")</f>
        <v/>
      </c>
      <c r="AK6" s="311"/>
      <c r="AL6" s="311" t="str">
        <f>IF(AND('Mapa final'!$H$22="Muy Alta",'Mapa final'!$L$22="Catastrófico"),CONCATENATE("R",'Mapa final'!$A$22),"")</f>
        <v/>
      </c>
      <c r="AM6" s="312"/>
      <c r="AO6" s="248" t="s">
        <v>77</v>
      </c>
      <c r="AP6" s="249"/>
      <c r="AQ6" s="249"/>
      <c r="AR6" s="249"/>
      <c r="AS6" s="249"/>
      <c r="AT6" s="2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
      <c r="A7" s="83"/>
      <c r="B7" s="246"/>
      <c r="C7" s="246"/>
      <c r="D7" s="247"/>
      <c r="E7" s="287"/>
      <c r="F7" s="288"/>
      <c r="G7" s="288"/>
      <c r="H7" s="288"/>
      <c r="I7" s="289"/>
      <c r="J7" s="297"/>
      <c r="K7" s="293"/>
      <c r="L7" s="293"/>
      <c r="M7" s="293"/>
      <c r="N7" s="293"/>
      <c r="O7" s="294"/>
      <c r="P7" s="297"/>
      <c r="Q7" s="293"/>
      <c r="R7" s="293"/>
      <c r="S7" s="293"/>
      <c r="T7" s="293"/>
      <c r="U7" s="294"/>
      <c r="V7" s="297"/>
      <c r="W7" s="293"/>
      <c r="X7" s="293"/>
      <c r="Y7" s="293"/>
      <c r="Z7" s="293"/>
      <c r="AA7" s="294"/>
      <c r="AB7" s="297"/>
      <c r="AC7" s="293"/>
      <c r="AD7" s="293"/>
      <c r="AE7" s="293"/>
      <c r="AF7" s="293"/>
      <c r="AG7" s="294"/>
      <c r="AH7" s="304"/>
      <c r="AI7" s="305"/>
      <c r="AJ7" s="305"/>
      <c r="AK7" s="305"/>
      <c r="AL7" s="305"/>
      <c r="AM7" s="306"/>
      <c r="AN7" s="83"/>
      <c r="AO7" s="251"/>
      <c r="AP7" s="252"/>
      <c r="AQ7" s="252"/>
      <c r="AR7" s="252"/>
      <c r="AS7" s="252"/>
      <c r="AT7" s="2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
      <c r="A8" s="83"/>
      <c r="B8" s="246"/>
      <c r="C8" s="246"/>
      <c r="D8" s="247"/>
      <c r="E8" s="287"/>
      <c r="F8" s="288"/>
      <c r="G8" s="288"/>
      <c r="H8" s="288"/>
      <c r="I8" s="289"/>
      <c r="J8" s="297" t="str">
        <f>IF(AND('Mapa final'!$H$28="Muy Alta",'Mapa final'!$L$28="Leve"),CONCATENATE("R",'Mapa final'!$A$28),"")</f>
        <v/>
      </c>
      <c r="K8" s="293"/>
      <c r="L8" s="293" t="str">
        <f>IF(AND('Mapa final'!$H$34="Muy Alta",'Mapa final'!$L$34="Leve"),CONCATENATE("R",'Mapa final'!$A$34),"")</f>
        <v/>
      </c>
      <c r="M8" s="293"/>
      <c r="N8" s="293" t="str">
        <f>IF(AND('Mapa final'!$H$40="Muy Alta",'Mapa final'!$L$40="Leve"),CONCATENATE("R",'Mapa final'!$A$40),"")</f>
        <v/>
      </c>
      <c r="O8" s="294"/>
      <c r="P8" s="297" t="str">
        <f>IF(AND('Mapa final'!$H$28="Muy Alta",'Mapa final'!$L$28="Menor"),CONCATENATE("R",'Mapa final'!$A$28),"")</f>
        <v/>
      </c>
      <c r="Q8" s="293"/>
      <c r="R8" s="293" t="str">
        <f>IF(AND('Mapa final'!$H$34="Muy Alta",'Mapa final'!$L$34="Menor"),CONCATENATE("R",'Mapa final'!$A$34),"")</f>
        <v/>
      </c>
      <c r="S8" s="293"/>
      <c r="T8" s="293" t="str">
        <f>IF(AND('Mapa final'!$H$40="Muy Alta",'Mapa final'!$L$40="Menor"),CONCATENATE("R",'Mapa final'!$A$40),"")</f>
        <v/>
      </c>
      <c r="U8" s="294"/>
      <c r="V8" s="297" t="str">
        <f>IF(AND('Mapa final'!$H$28="Muy Alta",'Mapa final'!$L$28="Moderado"),CONCATENATE("R",'Mapa final'!$A$28),"")</f>
        <v/>
      </c>
      <c r="W8" s="293"/>
      <c r="X8" s="293" t="str">
        <f>IF(AND('Mapa final'!$H$34="Muy Alta",'Mapa final'!$L$34="Moderado"),CONCATENATE("R",'Mapa final'!$A$34),"")</f>
        <v/>
      </c>
      <c r="Y8" s="293"/>
      <c r="Z8" s="293" t="str">
        <f>IF(AND('Mapa final'!$H$40="Muy Alta",'Mapa final'!$L$40="Moderado"),CONCATENATE("R",'Mapa final'!$A$40),"")</f>
        <v/>
      </c>
      <c r="AA8" s="294"/>
      <c r="AB8" s="297" t="str">
        <f>IF(AND('Mapa final'!$H$28="Muy Alta",'Mapa final'!$L$28="Mayor"),CONCATENATE("R",'Mapa final'!$A$28),"")</f>
        <v/>
      </c>
      <c r="AC8" s="293"/>
      <c r="AD8" s="293" t="str">
        <f>IF(AND('Mapa final'!$H$34="Muy Alta",'Mapa final'!$L$34="Mayor"),CONCATENATE("R",'Mapa final'!$A$34),"")</f>
        <v/>
      </c>
      <c r="AE8" s="293"/>
      <c r="AF8" s="293" t="str">
        <f>IF(AND('Mapa final'!$H$40="Muy Alta",'Mapa final'!$L$40="Mayor"),CONCATENATE("R",'Mapa final'!$A$40),"")</f>
        <v/>
      </c>
      <c r="AG8" s="294"/>
      <c r="AH8" s="304" t="str">
        <f>IF(AND('Mapa final'!$H$28="Muy Alta",'Mapa final'!$L$28="Catastrófico"),CONCATENATE("R",'Mapa final'!$A$28),"")</f>
        <v/>
      </c>
      <c r="AI8" s="305"/>
      <c r="AJ8" s="305" t="str">
        <f>IF(AND('Mapa final'!$H$34="Muy Alta",'Mapa final'!$L$34="Catastrófico"),CONCATENATE("R",'Mapa final'!$A$34),"")</f>
        <v/>
      </c>
      <c r="AK8" s="305"/>
      <c r="AL8" s="305" t="str">
        <f>IF(AND('Mapa final'!$H$40="Muy Alta",'Mapa final'!$L$40="Catastrófico"),CONCATENATE("R",'Mapa final'!$A$40),"")</f>
        <v/>
      </c>
      <c r="AM8" s="306"/>
      <c r="AN8" s="83"/>
      <c r="AO8" s="251"/>
      <c r="AP8" s="252"/>
      <c r="AQ8" s="252"/>
      <c r="AR8" s="252"/>
      <c r="AS8" s="252"/>
      <c r="AT8" s="2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
      <c r="A9" s="83"/>
      <c r="B9" s="246"/>
      <c r="C9" s="246"/>
      <c r="D9" s="247"/>
      <c r="E9" s="287"/>
      <c r="F9" s="288"/>
      <c r="G9" s="288"/>
      <c r="H9" s="288"/>
      <c r="I9" s="289"/>
      <c r="J9" s="297"/>
      <c r="K9" s="293"/>
      <c r="L9" s="293"/>
      <c r="M9" s="293"/>
      <c r="N9" s="293"/>
      <c r="O9" s="294"/>
      <c r="P9" s="297"/>
      <c r="Q9" s="293"/>
      <c r="R9" s="293"/>
      <c r="S9" s="293"/>
      <c r="T9" s="293"/>
      <c r="U9" s="294"/>
      <c r="V9" s="297"/>
      <c r="W9" s="293"/>
      <c r="X9" s="293"/>
      <c r="Y9" s="293"/>
      <c r="Z9" s="293"/>
      <c r="AA9" s="294"/>
      <c r="AB9" s="297"/>
      <c r="AC9" s="293"/>
      <c r="AD9" s="293"/>
      <c r="AE9" s="293"/>
      <c r="AF9" s="293"/>
      <c r="AG9" s="294"/>
      <c r="AH9" s="304"/>
      <c r="AI9" s="305"/>
      <c r="AJ9" s="305"/>
      <c r="AK9" s="305"/>
      <c r="AL9" s="305"/>
      <c r="AM9" s="306"/>
      <c r="AN9" s="83"/>
      <c r="AO9" s="251"/>
      <c r="AP9" s="252"/>
      <c r="AQ9" s="252"/>
      <c r="AR9" s="252"/>
      <c r="AS9" s="252"/>
      <c r="AT9" s="2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
      <c r="A10" s="83"/>
      <c r="B10" s="246"/>
      <c r="C10" s="246"/>
      <c r="D10" s="247"/>
      <c r="E10" s="287"/>
      <c r="F10" s="288"/>
      <c r="G10" s="288"/>
      <c r="H10" s="288"/>
      <c r="I10" s="289"/>
      <c r="J10" s="297" t="str">
        <f>IF(AND('Mapa final'!$H$46="Muy Alta",'Mapa final'!$L$46="Leve"),CONCATENATE("R",'Mapa final'!$A$46),"")</f>
        <v/>
      </c>
      <c r="K10" s="293"/>
      <c r="L10" s="293" t="str">
        <f>IF(AND('Mapa final'!$H$58="Muy Alta",'Mapa final'!$L$58="Leve"),CONCATENATE("R",'Mapa final'!$A$58),"")</f>
        <v/>
      </c>
      <c r="M10" s="293"/>
      <c r="N10" s="293" t="str">
        <f>IF(AND('Mapa final'!$H$64="Muy Alta",'Mapa final'!$L$64="Leve"),CONCATENATE("R",'Mapa final'!$A$64),"")</f>
        <v/>
      </c>
      <c r="O10" s="294"/>
      <c r="P10" s="297" t="str">
        <f>IF(AND('Mapa final'!$H$46="Muy Alta",'Mapa final'!$L$46="Menor"),CONCATENATE("R",'Mapa final'!$A$46),"")</f>
        <v/>
      </c>
      <c r="Q10" s="293"/>
      <c r="R10" s="293" t="str">
        <f>IF(AND('Mapa final'!$H$58="Muy Alta",'Mapa final'!$L$58="Menor"),CONCATENATE("R",'Mapa final'!$A$58),"")</f>
        <v/>
      </c>
      <c r="S10" s="293"/>
      <c r="T10" s="293" t="str">
        <f>IF(AND('Mapa final'!$H$64="Muy Alta",'Mapa final'!$L$64="Menor"),CONCATENATE("R",'Mapa final'!$A$64),"")</f>
        <v/>
      </c>
      <c r="U10" s="294"/>
      <c r="V10" s="297" t="str">
        <f>IF(AND('Mapa final'!$H$46="Muy Alta",'Mapa final'!$L$46="Moderado"),CONCATENATE("R",'Mapa final'!$A$46),"")</f>
        <v/>
      </c>
      <c r="W10" s="293"/>
      <c r="X10" s="293" t="str">
        <f>IF(AND('Mapa final'!$H$58="Muy Alta",'Mapa final'!$L$58="Moderado"),CONCATENATE("R",'Mapa final'!$A$58),"")</f>
        <v/>
      </c>
      <c r="Y10" s="293"/>
      <c r="Z10" s="293" t="str">
        <f>IF(AND('Mapa final'!$H$64="Muy Alta",'Mapa final'!$L$64="Moderado"),CONCATENATE("R",'Mapa final'!$A$64),"")</f>
        <v/>
      </c>
      <c r="AA10" s="294"/>
      <c r="AB10" s="297" t="str">
        <f>IF(AND('Mapa final'!$H$46="Muy Alta",'Mapa final'!$L$46="Mayor"),CONCATENATE("R",'Mapa final'!$A$46),"")</f>
        <v/>
      </c>
      <c r="AC10" s="293"/>
      <c r="AD10" s="293" t="str">
        <f>IF(AND('Mapa final'!$H$58="Muy Alta",'Mapa final'!$L$58="Mayor"),CONCATENATE("R",'Mapa final'!$A$58),"")</f>
        <v/>
      </c>
      <c r="AE10" s="293"/>
      <c r="AF10" s="293" t="str">
        <f>IF(AND('Mapa final'!$H$64="Muy Alta",'Mapa final'!$L$64="Mayor"),CONCATENATE("R",'Mapa final'!$A$64),"")</f>
        <v/>
      </c>
      <c r="AG10" s="294"/>
      <c r="AH10" s="304" t="str">
        <f>IF(AND('Mapa final'!$H$46="Muy Alta",'Mapa final'!$L$46="Catastrófico"),CONCATENATE("R",'Mapa final'!$A$46),"")</f>
        <v/>
      </c>
      <c r="AI10" s="305"/>
      <c r="AJ10" s="305" t="str">
        <f>IF(AND('Mapa final'!$H$58="Muy Alta",'Mapa final'!$L$58="Catastrófico"),CONCATENATE("R",'Mapa final'!$A$58),"")</f>
        <v/>
      </c>
      <c r="AK10" s="305"/>
      <c r="AL10" s="305" t="str">
        <f>IF(AND('Mapa final'!$H$64="Muy Alta",'Mapa final'!$L$64="Catastrófico"),CONCATENATE("R",'Mapa final'!$A$64),"")</f>
        <v/>
      </c>
      <c r="AM10" s="306"/>
      <c r="AN10" s="83"/>
      <c r="AO10" s="251"/>
      <c r="AP10" s="252"/>
      <c r="AQ10" s="252"/>
      <c r="AR10" s="252"/>
      <c r="AS10" s="252"/>
      <c r="AT10" s="2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
      <c r="A11" s="83"/>
      <c r="B11" s="246"/>
      <c r="C11" s="246"/>
      <c r="D11" s="247"/>
      <c r="E11" s="287"/>
      <c r="F11" s="288"/>
      <c r="G11" s="288"/>
      <c r="H11" s="288"/>
      <c r="I11" s="289"/>
      <c r="J11" s="297"/>
      <c r="K11" s="293"/>
      <c r="L11" s="293"/>
      <c r="M11" s="293"/>
      <c r="N11" s="293"/>
      <c r="O11" s="294"/>
      <c r="P11" s="297"/>
      <c r="Q11" s="293"/>
      <c r="R11" s="293"/>
      <c r="S11" s="293"/>
      <c r="T11" s="293"/>
      <c r="U11" s="294"/>
      <c r="V11" s="297"/>
      <c r="W11" s="293"/>
      <c r="X11" s="293"/>
      <c r="Y11" s="293"/>
      <c r="Z11" s="293"/>
      <c r="AA11" s="294"/>
      <c r="AB11" s="297"/>
      <c r="AC11" s="293"/>
      <c r="AD11" s="293"/>
      <c r="AE11" s="293"/>
      <c r="AF11" s="293"/>
      <c r="AG11" s="294"/>
      <c r="AH11" s="304"/>
      <c r="AI11" s="305"/>
      <c r="AJ11" s="305"/>
      <c r="AK11" s="305"/>
      <c r="AL11" s="305"/>
      <c r="AM11" s="306"/>
      <c r="AN11" s="83"/>
      <c r="AO11" s="251"/>
      <c r="AP11" s="252"/>
      <c r="AQ11" s="252"/>
      <c r="AR11" s="252"/>
      <c r="AS11" s="252"/>
      <c r="AT11" s="2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
      <c r="A12" s="83"/>
      <c r="B12" s="246"/>
      <c r="C12" s="246"/>
      <c r="D12" s="247"/>
      <c r="E12" s="287"/>
      <c r="F12" s="288"/>
      <c r="G12" s="288"/>
      <c r="H12" s="288"/>
      <c r="I12" s="289"/>
      <c r="J12" s="297" t="e">
        <f>IF(AND('Mapa final'!#REF!="Muy Alta",'Mapa final'!#REF!="Leve"),CONCATENATE("R",'Mapa final'!#REF!),"")</f>
        <v>#REF!</v>
      </c>
      <c r="K12" s="293"/>
      <c r="L12" s="293" t="str">
        <f>IF(AND('Mapa final'!$H$221="Muy Alta",'Mapa final'!$L$221="Leve"),CONCATENATE("R",'Mapa final'!$A$221),"")</f>
        <v/>
      </c>
      <c r="M12" s="293"/>
      <c r="N12" s="293" t="str">
        <f>IF(AND('Mapa final'!$H$227="Muy Alta",'Mapa final'!$L$227="Leve"),CONCATENATE("R",'Mapa final'!$A$227),"")</f>
        <v/>
      </c>
      <c r="O12" s="294"/>
      <c r="P12" s="297" t="e">
        <f>IF(AND('Mapa final'!#REF!="Muy Alta",'Mapa final'!#REF!="Menor"),CONCATENATE("R",'Mapa final'!#REF!),"")</f>
        <v>#REF!</v>
      </c>
      <c r="Q12" s="293"/>
      <c r="R12" s="293" t="str">
        <f>IF(AND('Mapa final'!$H$221="Muy Alta",'Mapa final'!$L$221="Menor"),CONCATENATE("R",'Mapa final'!$A$221),"")</f>
        <v/>
      </c>
      <c r="S12" s="293"/>
      <c r="T12" s="293" t="str">
        <f>IF(AND('Mapa final'!$H$227="Muy Alta",'Mapa final'!$L$227="Menor"),CONCATENATE("R",'Mapa final'!$A$227),"")</f>
        <v/>
      </c>
      <c r="U12" s="294"/>
      <c r="V12" s="297" t="e">
        <f>IF(AND('Mapa final'!#REF!="Muy Alta",'Mapa final'!#REF!="Moderado"),CONCATENATE("R",'Mapa final'!#REF!),"")</f>
        <v>#REF!</v>
      </c>
      <c r="W12" s="293"/>
      <c r="X12" s="293" t="str">
        <f>IF(AND('Mapa final'!$H$221="Muy Alta",'Mapa final'!$L$221="Moderado"),CONCATENATE("R",'Mapa final'!$A$221),"")</f>
        <v/>
      </c>
      <c r="Y12" s="293"/>
      <c r="Z12" s="293" t="str">
        <f>IF(AND('Mapa final'!$H$227="Muy Alta",'Mapa final'!$L$227="Moderado"),CONCATENATE("R",'Mapa final'!$A$227),"")</f>
        <v/>
      </c>
      <c r="AA12" s="294"/>
      <c r="AB12" s="297" t="e">
        <f>IF(AND('Mapa final'!#REF!="Muy Alta",'Mapa final'!#REF!="Mayor"),CONCATENATE("R",'Mapa final'!#REF!),"")</f>
        <v>#REF!</v>
      </c>
      <c r="AC12" s="293"/>
      <c r="AD12" s="293" t="str">
        <f>IF(AND('Mapa final'!$H$221="Muy Alta",'Mapa final'!$L$221="Mayor"),CONCATENATE("R",'Mapa final'!$A$221),"")</f>
        <v/>
      </c>
      <c r="AE12" s="293"/>
      <c r="AF12" s="293" t="str">
        <f>IF(AND('Mapa final'!$H$227="Muy Alta",'Mapa final'!$L$227="Mayor"),CONCATENATE("R",'Mapa final'!$A$227),"")</f>
        <v/>
      </c>
      <c r="AG12" s="294"/>
      <c r="AH12" s="304" t="e">
        <f>IF(AND('Mapa final'!#REF!="Muy Alta",'Mapa final'!#REF!="Catastrófico"),CONCATENATE("R",'Mapa final'!#REF!),"")</f>
        <v>#REF!</v>
      </c>
      <c r="AI12" s="305"/>
      <c r="AJ12" s="305" t="str">
        <f>IF(AND('Mapa final'!$H$221="Muy Alta",'Mapa final'!$L$221="Catastrófico"),CONCATENATE("R",'Mapa final'!$A$221),"")</f>
        <v/>
      </c>
      <c r="AK12" s="305"/>
      <c r="AL12" s="305" t="str">
        <f>IF(AND('Mapa final'!$H$227="Muy Alta",'Mapa final'!$L$227="Catastrófico"),CONCATENATE("R",'Mapa final'!$A$227),"")</f>
        <v/>
      </c>
      <c r="AM12" s="306"/>
      <c r="AN12" s="83"/>
      <c r="AO12" s="251"/>
      <c r="AP12" s="252"/>
      <c r="AQ12" s="252"/>
      <c r="AR12" s="252"/>
      <c r="AS12" s="252"/>
      <c r="AT12" s="2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25">
      <c r="A13" s="83"/>
      <c r="B13" s="246"/>
      <c r="C13" s="246"/>
      <c r="D13" s="247"/>
      <c r="E13" s="290"/>
      <c r="F13" s="291"/>
      <c r="G13" s="291"/>
      <c r="H13" s="291"/>
      <c r="I13" s="292"/>
      <c r="J13" s="297"/>
      <c r="K13" s="293"/>
      <c r="L13" s="293"/>
      <c r="M13" s="293"/>
      <c r="N13" s="293"/>
      <c r="O13" s="294"/>
      <c r="P13" s="297"/>
      <c r="Q13" s="293"/>
      <c r="R13" s="293"/>
      <c r="S13" s="293"/>
      <c r="T13" s="293"/>
      <c r="U13" s="294"/>
      <c r="V13" s="297"/>
      <c r="W13" s="293"/>
      <c r="X13" s="293"/>
      <c r="Y13" s="293"/>
      <c r="Z13" s="293"/>
      <c r="AA13" s="294"/>
      <c r="AB13" s="297"/>
      <c r="AC13" s="293"/>
      <c r="AD13" s="293"/>
      <c r="AE13" s="293"/>
      <c r="AF13" s="293"/>
      <c r="AG13" s="294"/>
      <c r="AH13" s="307"/>
      <c r="AI13" s="308"/>
      <c r="AJ13" s="308"/>
      <c r="AK13" s="308"/>
      <c r="AL13" s="308"/>
      <c r="AM13" s="309"/>
      <c r="AN13" s="83"/>
      <c r="AO13" s="254"/>
      <c r="AP13" s="255"/>
      <c r="AQ13" s="255"/>
      <c r="AR13" s="255"/>
      <c r="AS13" s="255"/>
      <c r="AT13" s="2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
      <c r="A14" s="83"/>
      <c r="B14" s="246"/>
      <c r="C14" s="246"/>
      <c r="D14" s="247"/>
      <c r="E14" s="284" t="s">
        <v>113</v>
      </c>
      <c r="F14" s="285"/>
      <c r="G14" s="285"/>
      <c r="H14" s="285"/>
      <c r="I14" s="285"/>
      <c r="J14" s="319" t="str">
        <f>IF(AND('Mapa final'!$H$10="Alta",'Mapa final'!$L$10="Leve"),CONCATENATE("R",'Mapa final'!$A$10),"")</f>
        <v/>
      </c>
      <c r="K14" s="320"/>
      <c r="L14" s="320" t="str">
        <f>IF(AND('Mapa final'!$H$16="Alta",'Mapa final'!$L$16="Leve"),CONCATENATE("R",'Mapa final'!$A$16),"")</f>
        <v/>
      </c>
      <c r="M14" s="320"/>
      <c r="N14" s="320" t="str">
        <f>IF(AND('Mapa final'!$H$22="Alta",'Mapa final'!$L$22="Leve"),CONCATENATE("R",'Mapa final'!$A$22),"")</f>
        <v/>
      </c>
      <c r="O14" s="321"/>
      <c r="P14" s="319" t="str">
        <f>IF(AND('Mapa final'!$H$10="Alta",'Mapa final'!$L$10="Menor"),CONCATENATE("R",'Mapa final'!$A$10),"")</f>
        <v/>
      </c>
      <c r="Q14" s="320"/>
      <c r="R14" s="320" t="str">
        <f>IF(AND('Mapa final'!$H$16="Alta",'Mapa final'!$L$16="Menor"),CONCATENATE("R",'Mapa final'!$A$16),"")</f>
        <v/>
      </c>
      <c r="S14" s="320"/>
      <c r="T14" s="320" t="str">
        <f>IF(AND('Mapa final'!$H$22="Alta",'Mapa final'!$L$22="Menor"),CONCATENATE("R",'Mapa final'!$A$22),"")</f>
        <v/>
      </c>
      <c r="U14" s="321"/>
      <c r="V14" s="295" t="str">
        <f>IF(AND('Mapa final'!$H$10="Alta",'Mapa final'!$L$10="Moderado"),CONCATENATE("R",'Mapa final'!$A$10),"")</f>
        <v/>
      </c>
      <c r="W14" s="296"/>
      <c r="X14" s="296" t="str">
        <f>IF(AND('Mapa final'!$H$16="Alta",'Mapa final'!$L$16="Moderado"),CONCATENATE("R",'Mapa final'!$A$16),"")</f>
        <v/>
      </c>
      <c r="Y14" s="296"/>
      <c r="Z14" s="296" t="str">
        <f>IF(AND('Mapa final'!$H$22="Alta",'Mapa final'!$L$22="Moderado"),CONCATENATE("R",'Mapa final'!$A$22),"")</f>
        <v/>
      </c>
      <c r="AA14" s="298"/>
      <c r="AB14" s="295" t="str">
        <f>IF(AND('Mapa final'!$H$10="Alta",'Mapa final'!$L$10="Mayor"),CONCATENATE("R",'Mapa final'!$A$10),"")</f>
        <v/>
      </c>
      <c r="AC14" s="296"/>
      <c r="AD14" s="296" t="str">
        <f>IF(AND('Mapa final'!$H$16="Alta",'Mapa final'!$L$16="Mayor"),CONCATENATE("R",'Mapa final'!$A$16),"")</f>
        <v/>
      </c>
      <c r="AE14" s="296"/>
      <c r="AF14" s="296" t="str">
        <f>IF(AND('Mapa final'!$H$22="Alta",'Mapa final'!$L$22="Mayor"),CONCATENATE("R",'Mapa final'!$A$22),"")</f>
        <v/>
      </c>
      <c r="AG14" s="298"/>
      <c r="AH14" s="310" t="str">
        <f>IF(AND('Mapa final'!$H$10="Alta",'Mapa final'!$L$10="Catastrófico"),CONCATENATE("R",'Mapa final'!$A$10),"")</f>
        <v/>
      </c>
      <c r="AI14" s="311"/>
      <c r="AJ14" s="311" t="str">
        <f>IF(AND('Mapa final'!$H$16="Alta",'Mapa final'!$L$16="Catastrófico"),CONCATENATE("R",'Mapa final'!$A$16),"")</f>
        <v/>
      </c>
      <c r="AK14" s="311"/>
      <c r="AL14" s="311" t="str">
        <f>IF(AND('Mapa final'!$H$22="Alta",'Mapa final'!$L$22="Catastrófico"),CONCATENATE("R",'Mapa final'!$A$22),"")</f>
        <v/>
      </c>
      <c r="AM14" s="312"/>
      <c r="AN14" s="83"/>
      <c r="AO14" s="257" t="s">
        <v>78</v>
      </c>
      <c r="AP14" s="258"/>
      <c r="AQ14" s="258"/>
      <c r="AR14" s="258"/>
      <c r="AS14" s="258"/>
      <c r="AT14" s="25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
      <c r="A15" s="83"/>
      <c r="B15" s="246"/>
      <c r="C15" s="246"/>
      <c r="D15" s="247"/>
      <c r="E15" s="287"/>
      <c r="F15" s="288"/>
      <c r="G15" s="288"/>
      <c r="H15" s="288"/>
      <c r="I15" s="288"/>
      <c r="J15" s="313"/>
      <c r="K15" s="314"/>
      <c r="L15" s="314"/>
      <c r="M15" s="314"/>
      <c r="N15" s="314"/>
      <c r="O15" s="315"/>
      <c r="P15" s="313"/>
      <c r="Q15" s="314"/>
      <c r="R15" s="314"/>
      <c r="S15" s="314"/>
      <c r="T15" s="314"/>
      <c r="U15" s="315"/>
      <c r="V15" s="297"/>
      <c r="W15" s="293"/>
      <c r="X15" s="293"/>
      <c r="Y15" s="293"/>
      <c r="Z15" s="293"/>
      <c r="AA15" s="294"/>
      <c r="AB15" s="297"/>
      <c r="AC15" s="293"/>
      <c r="AD15" s="293"/>
      <c r="AE15" s="293"/>
      <c r="AF15" s="293"/>
      <c r="AG15" s="294"/>
      <c r="AH15" s="304"/>
      <c r="AI15" s="305"/>
      <c r="AJ15" s="305"/>
      <c r="AK15" s="305"/>
      <c r="AL15" s="305"/>
      <c r="AM15" s="306"/>
      <c r="AN15" s="83"/>
      <c r="AO15" s="260"/>
      <c r="AP15" s="261"/>
      <c r="AQ15" s="261"/>
      <c r="AR15" s="261"/>
      <c r="AS15" s="261"/>
      <c r="AT15" s="26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
      <c r="A16" s="83"/>
      <c r="B16" s="246"/>
      <c r="C16" s="246"/>
      <c r="D16" s="247"/>
      <c r="E16" s="287"/>
      <c r="F16" s="288"/>
      <c r="G16" s="288"/>
      <c r="H16" s="288"/>
      <c r="I16" s="288"/>
      <c r="J16" s="313" t="str">
        <f>IF(AND('Mapa final'!$H$28="Alta",'Mapa final'!$L$28="Leve"),CONCATENATE("R",'Mapa final'!$A$28),"")</f>
        <v/>
      </c>
      <c r="K16" s="314"/>
      <c r="L16" s="314" t="str">
        <f>IF(AND('Mapa final'!$H$34="Alta",'Mapa final'!$L$34="Leve"),CONCATENATE("R",'Mapa final'!$A$34),"")</f>
        <v/>
      </c>
      <c r="M16" s="314"/>
      <c r="N16" s="314" t="str">
        <f>IF(AND('Mapa final'!$H$40="Alta",'Mapa final'!$L$40="Leve"),CONCATENATE("R",'Mapa final'!$A$40),"")</f>
        <v/>
      </c>
      <c r="O16" s="315"/>
      <c r="P16" s="313" t="str">
        <f>IF(AND('Mapa final'!$H$28="Alta",'Mapa final'!$L$28="Menor"),CONCATENATE("R",'Mapa final'!$A$28),"")</f>
        <v/>
      </c>
      <c r="Q16" s="314"/>
      <c r="R16" s="314" t="str">
        <f>IF(AND('Mapa final'!$H$34="Alta",'Mapa final'!$L$34="Menor"),CONCATENATE("R",'Mapa final'!$A$34),"")</f>
        <v/>
      </c>
      <c r="S16" s="314"/>
      <c r="T16" s="314" t="str">
        <f>IF(AND('Mapa final'!$H$40="Alta",'Mapa final'!$L$40="Menor"),CONCATENATE("R",'Mapa final'!$A$40),"")</f>
        <v/>
      </c>
      <c r="U16" s="315"/>
      <c r="V16" s="297" t="str">
        <f>IF(AND('Mapa final'!$H$28="Alta",'Mapa final'!$L$28="Moderado"),CONCATENATE("R",'Mapa final'!$A$28),"")</f>
        <v/>
      </c>
      <c r="W16" s="293"/>
      <c r="X16" s="293" t="str">
        <f>IF(AND('Mapa final'!$H$34="Alta",'Mapa final'!$L$34="Moderado"),CONCATENATE("R",'Mapa final'!$A$34),"")</f>
        <v/>
      </c>
      <c r="Y16" s="293"/>
      <c r="Z16" s="293" t="str">
        <f>IF(AND('Mapa final'!$H$40="Alta",'Mapa final'!$L$40="Moderado"),CONCATENATE("R",'Mapa final'!$A$40),"")</f>
        <v/>
      </c>
      <c r="AA16" s="294"/>
      <c r="AB16" s="297" t="str">
        <f>IF(AND('Mapa final'!$H$28="Alta",'Mapa final'!$L$28="Mayor"),CONCATENATE("R",'Mapa final'!$A$28),"")</f>
        <v/>
      </c>
      <c r="AC16" s="293"/>
      <c r="AD16" s="293" t="str">
        <f>IF(AND('Mapa final'!$H$34="Alta",'Mapa final'!$L$34="Mayor"),CONCATENATE("R",'Mapa final'!$A$34),"")</f>
        <v/>
      </c>
      <c r="AE16" s="293"/>
      <c r="AF16" s="293" t="str">
        <f>IF(AND('Mapa final'!$H$40="Alta",'Mapa final'!$L$40="Mayor"),CONCATENATE("R",'Mapa final'!$A$40),"")</f>
        <v/>
      </c>
      <c r="AG16" s="294"/>
      <c r="AH16" s="304" t="str">
        <f>IF(AND('Mapa final'!$H$28="Alta",'Mapa final'!$L$28="Catastrófico"),CONCATENATE("R",'Mapa final'!$A$28),"")</f>
        <v/>
      </c>
      <c r="AI16" s="305"/>
      <c r="AJ16" s="305" t="str">
        <f>IF(AND('Mapa final'!$H$34="Alta",'Mapa final'!$L$34="Catastrófico"),CONCATENATE("R",'Mapa final'!$A$34),"")</f>
        <v/>
      </c>
      <c r="AK16" s="305"/>
      <c r="AL16" s="305" t="str">
        <f>IF(AND('Mapa final'!$H$40="Alta",'Mapa final'!$L$40="Catastrófico"),CONCATENATE("R",'Mapa final'!$A$40),"")</f>
        <v/>
      </c>
      <c r="AM16" s="306"/>
      <c r="AN16" s="83"/>
      <c r="AO16" s="260"/>
      <c r="AP16" s="261"/>
      <c r="AQ16" s="261"/>
      <c r="AR16" s="261"/>
      <c r="AS16" s="261"/>
      <c r="AT16" s="26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
      <c r="A17" s="83"/>
      <c r="B17" s="246"/>
      <c r="C17" s="246"/>
      <c r="D17" s="247"/>
      <c r="E17" s="287"/>
      <c r="F17" s="288"/>
      <c r="G17" s="288"/>
      <c r="H17" s="288"/>
      <c r="I17" s="288"/>
      <c r="J17" s="313"/>
      <c r="K17" s="314"/>
      <c r="L17" s="314"/>
      <c r="M17" s="314"/>
      <c r="N17" s="314"/>
      <c r="O17" s="315"/>
      <c r="P17" s="313"/>
      <c r="Q17" s="314"/>
      <c r="R17" s="314"/>
      <c r="S17" s="314"/>
      <c r="T17" s="314"/>
      <c r="U17" s="315"/>
      <c r="V17" s="297"/>
      <c r="W17" s="293"/>
      <c r="X17" s="293"/>
      <c r="Y17" s="293"/>
      <c r="Z17" s="293"/>
      <c r="AA17" s="294"/>
      <c r="AB17" s="297"/>
      <c r="AC17" s="293"/>
      <c r="AD17" s="293"/>
      <c r="AE17" s="293"/>
      <c r="AF17" s="293"/>
      <c r="AG17" s="294"/>
      <c r="AH17" s="304"/>
      <c r="AI17" s="305"/>
      <c r="AJ17" s="305"/>
      <c r="AK17" s="305"/>
      <c r="AL17" s="305"/>
      <c r="AM17" s="306"/>
      <c r="AN17" s="83"/>
      <c r="AO17" s="260"/>
      <c r="AP17" s="261"/>
      <c r="AQ17" s="261"/>
      <c r="AR17" s="261"/>
      <c r="AS17" s="261"/>
      <c r="AT17" s="26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
      <c r="A18" s="83"/>
      <c r="B18" s="246"/>
      <c r="C18" s="246"/>
      <c r="D18" s="247"/>
      <c r="E18" s="287"/>
      <c r="F18" s="288"/>
      <c r="G18" s="288"/>
      <c r="H18" s="288"/>
      <c r="I18" s="288"/>
      <c r="J18" s="313" t="str">
        <f>IF(AND('Mapa final'!$H$46="Alta",'Mapa final'!$L$46="Leve"),CONCATENATE("R",'Mapa final'!$A$46),"")</f>
        <v/>
      </c>
      <c r="K18" s="314"/>
      <c r="L18" s="314" t="str">
        <f>IF(AND('Mapa final'!$H$58="Alta",'Mapa final'!$L$58="Leve"),CONCATENATE("R",'Mapa final'!$A$58),"")</f>
        <v/>
      </c>
      <c r="M18" s="314"/>
      <c r="N18" s="314" t="str">
        <f>IF(AND('Mapa final'!$H$64="Alta",'Mapa final'!$L$64="Leve"),CONCATENATE("R",'Mapa final'!$A$64),"")</f>
        <v/>
      </c>
      <c r="O18" s="315"/>
      <c r="P18" s="313" t="str">
        <f>IF(AND('Mapa final'!$H$46="Alta",'Mapa final'!$L$46="Menor"),CONCATENATE("R",'Mapa final'!$A$46),"")</f>
        <v/>
      </c>
      <c r="Q18" s="314"/>
      <c r="R18" s="314" t="str">
        <f>IF(AND('Mapa final'!$H$58="Alta",'Mapa final'!$L$58="Menor"),CONCATENATE("R",'Mapa final'!$A$58),"")</f>
        <v/>
      </c>
      <c r="S18" s="314"/>
      <c r="T18" s="314" t="str">
        <f>IF(AND('Mapa final'!$H$64="Alta",'Mapa final'!$L$64="Menor"),CONCATENATE("R",'Mapa final'!$A$64),"")</f>
        <v/>
      </c>
      <c r="U18" s="315"/>
      <c r="V18" s="297" t="str">
        <f>IF(AND('Mapa final'!$H$46="Alta",'Mapa final'!$L$46="Moderado"),CONCATENATE("R",'Mapa final'!$A$46),"")</f>
        <v/>
      </c>
      <c r="W18" s="293"/>
      <c r="X18" s="293" t="str">
        <f>IF(AND('Mapa final'!$H$58="Alta",'Mapa final'!$L$58="Moderado"),CONCATENATE("R",'Mapa final'!$A$58),"")</f>
        <v/>
      </c>
      <c r="Y18" s="293"/>
      <c r="Z18" s="293" t="str">
        <f>IF(AND('Mapa final'!$H$64="Alta",'Mapa final'!$L$64="Moderado"),CONCATENATE("R",'Mapa final'!$A$64),"")</f>
        <v/>
      </c>
      <c r="AA18" s="294"/>
      <c r="AB18" s="297" t="str">
        <f>IF(AND('Mapa final'!$H$46="Alta",'Mapa final'!$L$46="Mayor"),CONCATENATE("R",'Mapa final'!$A$46),"")</f>
        <v/>
      </c>
      <c r="AC18" s="293"/>
      <c r="AD18" s="293" t="str">
        <f>IF(AND('Mapa final'!$H$58="Alta",'Mapa final'!$L$58="Mayor"),CONCATENATE("R",'Mapa final'!$A$58),"")</f>
        <v/>
      </c>
      <c r="AE18" s="293"/>
      <c r="AF18" s="293" t="str">
        <f>IF(AND('Mapa final'!$H$64="Alta",'Mapa final'!$L$64="Mayor"),CONCATENATE("R",'Mapa final'!$A$64),"")</f>
        <v/>
      </c>
      <c r="AG18" s="294"/>
      <c r="AH18" s="304" t="str">
        <f>IF(AND('Mapa final'!$H$46="Alta",'Mapa final'!$L$46="Catastrófico"),CONCATENATE("R",'Mapa final'!$A$46),"")</f>
        <v/>
      </c>
      <c r="AI18" s="305"/>
      <c r="AJ18" s="305" t="str">
        <f>IF(AND('Mapa final'!$H$58="Alta",'Mapa final'!$L$58="Catastrófico"),CONCATENATE("R",'Mapa final'!$A$58),"")</f>
        <v/>
      </c>
      <c r="AK18" s="305"/>
      <c r="AL18" s="305" t="str">
        <f>IF(AND('Mapa final'!$H$64="Alta",'Mapa final'!$L$64="Catastrófico"),CONCATENATE("R",'Mapa final'!$A$64),"")</f>
        <v/>
      </c>
      <c r="AM18" s="306"/>
      <c r="AN18" s="83"/>
      <c r="AO18" s="260"/>
      <c r="AP18" s="261"/>
      <c r="AQ18" s="261"/>
      <c r="AR18" s="261"/>
      <c r="AS18" s="261"/>
      <c r="AT18" s="26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
      <c r="A19" s="83"/>
      <c r="B19" s="246"/>
      <c r="C19" s="246"/>
      <c r="D19" s="247"/>
      <c r="E19" s="287"/>
      <c r="F19" s="288"/>
      <c r="G19" s="288"/>
      <c r="H19" s="288"/>
      <c r="I19" s="288"/>
      <c r="J19" s="313"/>
      <c r="K19" s="314"/>
      <c r="L19" s="314"/>
      <c r="M19" s="314"/>
      <c r="N19" s="314"/>
      <c r="O19" s="315"/>
      <c r="P19" s="313"/>
      <c r="Q19" s="314"/>
      <c r="R19" s="314"/>
      <c r="S19" s="314"/>
      <c r="T19" s="314"/>
      <c r="U19" s="315"/>
      <c r="V19" s="297"/>
      <c r="W19" s="293"/>
      <c r="X19" s="293"/>
      <c r="Y19" s="293"/>
      <c r="Z19" s="293"/>
      <c r="AA19" s="294"/>
      <c r="AB19" s="297"/>
      <c r="AC19" s="293"/>
      <c r="AD19" s="293"/>
      <c r="AE19" s="293"/>
      <c r="AF19" s="293"/>
      <c r="AG19" s="294"/>
      <c r="AH19" s="304"/>
      <c r="AI19" s="305"/>
      <c r="AJ19" s="305"/>
      <c r="AK19" s="305"/>
      <c r="AL19" s="305"/>
      <c r="AM19" s="306"/>
      <c r="AN19" s="83"/>
      <c r="AO19" s="260"/>
      <c r="AP19" s="261"/>
      <c r="AQ19" s="261"/>
      <c r="AR19" s="261"/>
      <c r="AS19" s="261"/>
      <c r="AT19" s="26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
      <c r="A20" s="83"/>
      <c r="B20" s="246"/>
      <c r="C20" s="246"/>
      <c r="D20" s="247"/>
      <c r="E20" s="287"/>
      <c r="F20" s="288"/>
      <c r="G20" s="288"/>
      <c r="H20" s="288"/>
      <c r="I20" s="288"/>
      <c r="J20" s="313" t="e">
        <f>IF(AND('Mapa final'!#REF!="Alta",'Mapa final'!#REF!="Leve"),CONCATENATE("R",'Mapa final'!#REF!),"")</f>
        <v>#REF!</v>
      </c>
      <c r="K20" s="314"/>
      <c r="L20" s="314" t="str">
        <f>IF(AND('Mapa final'!$H$221="Alta",'Mapa final'!$L$221="Leve"),CONCATENATE("R",'Mapa final'!$A$221),"")</f>
        <v/>
      </c>
      <c r="M20" s="314"/>
      <c r="N20" s="314" t="str">
        <f>IF(AND('Mapa final'!$H$227="Alta",'Mapa final'!$L$227="Leve"),CONCATENATE("R",'Mapa final'!$A$227),"")</f>
        <v/>
      </c>
      <c r="O20" s="315"/>
      <c r="P20" s="313" t="e">
        <f>IF(AND('Mapa final'!#REF!="Alta",'Mapa final'!#REF!="Menor"),CONCATENATE("R",'Mapa final'!#REF!),"")</f>
        <v>#REF!</v>
      </c>
      <c r="Q20" s="314"/>
      <c r="R20" s="314" t="str">
        <f>IF(AND('Mapa final'!$H$221="Alta",'Mapa final'!$L$221="Menor"),CONCATENATE("R",'Mapa final'!$A$221),"")</f>
        <v/>
      </c>
      <c r="S20" s="314"/>
      <c r="T20" s="314" t="str">
        <f>IF(AND('Mapa final'!$H$227="Alta",'Mapa final'!$L$227="Menor"),CONCATENATE("R",'Mapa final'!$A$227),"")</f>
        <v/>
      </c>
      <c r="U20" s="315"/>
      <c r="V20" s="297" t="e">
        <f>IF(AND('Mapa final'!#REF!="Alta",'Mapa final'!#REF!="Moderado"),CONCATENATE("R",'Mapa final'!#REF!),"")</f>
        <v>#REF!</v>
      </c>
      <c r="W20" s="293"/>
      <c r="X20" s="293" t="str">
        <f>IF(AND('Mapa final'!$H$221="Alta",'Mapa final'!$L$221="Moderado"),CONCATENATE("R",'Mapa final'!$A$221),"")</f>
        <v/>
      </c>
      <c r="Y20" s="293"/>
      <c r="Z20" s="293" t="str">
        <f>IF(AND('Mapa final'!$H$227="Alta",'Mapa final'!$L$227="Moderado"),CONCATENATE("R",'Mapa final'!$A$227),"")</f>
        <v/>
      </c>
      <c r="AA20" s="294"/>
      <c r="AB20" s="297" t="e">
        <f>IF(AND('Mapa final'!#REF!="Alta",'Mapa final'!#REF!="Mayor"),CONCATENATE("R",'Mapa final'!#REF!),"")</f>
        <v>#REF!</v>
      </c>
      <c r="AC20" s="293"/>
      <c r="AD20" s="293" t="str">
        <f>IF(AND('Mapa final'!$H$221="Alta",'Mapa final'!$L$221="Mayor"),CONCATENATE("R",'Mapa final'!$A$221),"")</f>
        <v/>
      </c>
      <c r="AE20" s="293"/>
      <c r="AF20" s="293" t="str">
        <f>IF(AND('Mapa final'!$H$227="Alta",'Mapa final'!$L$227="Mayor"),CONCATENATE("R",'Mapa final'!$A$227),"")</f>
        <v/>
      </c>
      <c r="AG20" s="294"/>
      <c r="AH20" s="304" t="e">
        <f>IF(AND('Mapa final'!#REF!="Alta",'Mapa final'!#REF!="Catastrófico"),CONCATENATE("R",'Mapa final'!#REF!),"")</f>
        <v>#REF!</v>
      </c>
      <c r="AI20" s="305"/>
      <c r="AJ20" s="305" t="str">
        <f>IF(AND('Mapa final'!$H$221="Alta",'Mapa final'!$L$221="Catastrófico"),CONCATENATE("R",'Mapa final'!$A$221),"")</f>
        <v/>
      </c>
      <c r="AK20" s="305"/>
      <c r="AL20" s="305" t="str">
        <f>IF(AND('Mapa final'!$H$227="Alta",'Mapa final'!$L$227="Catastrófico"),CONCATENATE("R",'Mapa final'!$A$227),"")</f>
        <v/>
      </c>
      <c r="AM20" s="306"/>
      <c r="AN20" s="83"/>
      <c r="AO20" s="260"/>
      <c r="AP20" s="261"/>
      <c r="AQ20" s="261"/>
      <c r="AR20" s="261"/>
      <c r="AS20" s="261"/>
      <c r="AT20" s="26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25">
      <c r="A21" s="83"/>
      <c r="B21" s="246"/>
      <c r="C21" s="246"/>
      <c r="D21" s="247"/>
      <c r="E21" s="290"/>
      <c r="F21" s="291"/>
      <c r="G21" s="291"/>
      <c r="H21" s="291"/>
      <c r="I21" s="291"/>
      <c r="J21" s="316"/>
      <c r="K21" s="317"/>
      <c r="L21" s="317"/>
      <c r="M21" s="317"/>
      <c r="N21" s="317"/>
      <c r="O21" s="318"/>
      <c r="P21" s="316"/>
      <c r="Q21" s="317"/>
      <c r="R21" s="317"/>
      <c r="S21" s="317"/>
      <c r="T21" s="317"/>
      <c r="U21" s="318"/>
      <c r="V21" s="301"/>
      <c r="W21" s="302"/>
      <c r="X21" s="302"/>
      <c r="Y21" s="302"/>
      <c r="Z21" s="302"/>
      <c r="AA21" s="303"/>
      <c r="AB21" s="301"/>
      <c r="AC21" s="302"/>
      <c r="AD21" s="302"/>
      <c r="AE21" s="302"/>
      <c r="AF21" s="302"/>
      <c r="AG21" s="303"/>
      <c r="AH21" s="307"/>
      <c r="AI21" s="308"/>
      <c r="AJ21" s="308"/>
      <c r="AK21" s="308"/>
      <c r="AL21" s="308"/>
      <c r="AM21" s="309"/>
      <c r="AN21" s="83"/>
      <c r="AO21" s="263"/>
      <c r="AP21" s="264"/>
      <c r="AQ21" s="264"/>
      <c r="AR21" s="264"/>
      <c r="AS21" s="264"/>
      <c r="AT21" s="26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
      <c r="A22" s="83"/>
      <c r="B22" s="246"/>
      <c r="C22" s="246"/>
      <c r="D22" s="247"/>
      <c r="E22" s="284" t="s">
        <v>115</v>
      </c>
      <c r="F22" s="285"/>
      <c r="G22" s="285"/>
      <c r="H22" s="285"/>
      <c r="I22" s="286"/>
      <c r="J22" s="319" t="str">
        <f>IF(AND('Mapa final'!$H$10="Media",'Mapa final'!$L$10="Leve"),CONCATENATE("R",'Mapa final'!$A$10),"")</f>
        <v/>
      </c>
      <c r="K22" s="320"/>
      <c r="L22" s="320" t="str">
        <f>IF(AND('Mapa final'!$H$16="Media",'Mapa final'!$L$16="Leve"),CONCATENATE("R",'Mapa final'!$A$16),"")</f>
        <v/>
      </c>
      <c r="M22" s="320"/>
      <c r="N22" s="320" t="str">
        <f>IF(AND('Mapa final'!$H$22="Media",'Mapa final'!$L$22="Leve"),CONCATENATE("R",'Mapa final'!$A$22),"")</f>
        <v/>
      </c>
      <c r="O22" s="321"/>
      <c r="P22" s="319" t="str">
        <f>IF(AND('Mapa final'!$H$10="Media",'Mapa final'!$L$10="Menor"),CONCATENATE("R",'Mapa final'!$A$10),"")</f>
        <v/>
      </c>
      <c r="Q22" s="320"/>
      <c r="R22" s="320" t="str">
        <f>IF(AND('Mapa final'!$H$16="Media",'Mapa final'!$L$16="Menor"),CONCATENATE("R",'Mapa final'!$A$16),"")</f>
        <v/>
      </c>
      <c r="S22" s="320"/>
      <c r="T22" s="320" t="str">
        <f>IF(AND('Mapa final'!$H$22="Media",'Mapa final'!$L$22="Menor"),CONCATENATE("R",'Mapa final'!$A$22),"")</f>
        <v/>
      </c>
      <c r="U22" s="321"/>
      <c r="V22" s="319" t="str">
        <f>IF(AND('Mapa final'!$H$10="Media",'Mapa final'!$L$10="Moderado"),CONCATENATE("R",'Mapa final'!$A$10),"")</f>
        <v/>
      </c>
      <c r="W22" s="320"/>
      <c r="X22" s="320" t="str">
        <f>IF(AND('Mapa final'!$H$16="Media",'Mapa final'!$L$16="Moderado"),CONCATENATE("R",'Mapa final'!$A$16),"")</f>
        <v/>
      </c>
      <c r="Y22" s="320"/>
      <c r="Z22" s="320" t="str">
        <f>IF(AND('Mapa final'!$H$22="Media",'Mapa final'!$L$22="Moderado"),CONCATENATE("R",'Mapa final'!$A$22),"")</f>
        <v/>
      </c>
      <c r="AA22" s="321"/>
      <c r="AB22" s="295" t="str">
        <f>IF(AND('Mapa final'!$H$10="Media",'Mapa final'!$L$10="Mayor"),CONCATENATE("R",'Mapa final'!$A$10),"")</f>
        <v/>
      </c>
      <c r="AC22" s="296"/>
      <c r="AD22" s="296" t="str">
        <f>IF(AND('Mapa final'!$H$16="Media",'Mapa final'!$L$16="Mayor"),CONCATENATE("R",'Mapa final'!$A$16),"")</f>
        <v/>
      </c>
      <c r="AE22" s="296"/>
      <c r="AF22" s="296" t="str">
        <f>IF(AND('Mapa final'!$H$22="Media",'Mapa final'!$L$22="Mayor"),CONCATENATE("R",'Mapa final'!$A$22),"")</f>
        <v/>
      </c>
      <c r="AG22" s="298"/>
      <c r="AH22" s="310" t="str">
        <f>IF(AND('Mapa final'!$H$10="Media",'Mapa final'!$L$10="Catastrófico"),CONCATENATE("R",'Mapa final'!$A$10),"")</f>
        <v/>
      </c>
      <c r="AI22" s="311"/>
      <c r="AJ22" s="311" t="str">
        <f>IF(AND('Mapa final'!$H$16="Media",'Mapa final'!$L$16="Catastrófico"),CONCATENATE("R",'Mapa final'!$A$16),"")</f>
        <v/>
      </c>
      <c r="AK22" s="311"/>
      <c r="AL22" s="311" t="str">
        <f>IF(AND('Mapa final'!$H$22="Media",'Mapa final'!$L$22="Catastrófico"),CONCATENATE("R",'Mapa final'!$A$22),"")</f>
        <v/>
      </c>
      <c r="AM22" s="312"/>
      <c r="AN22" s="83"/>
      <c r="AO22" s="266" t="s">
        <v>79</v>
      </c>
      <c r="AP22" s="267"/>
      <c r="AQ22" s="267"/>
      <c r="AR22" s="267"/>
      <c r="AS22" s="267"/>
      <c r="AT22" s="26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
      <c r="A23" s="83"/>
      <c r="B23" s="246"/>
      <c r="C23" s="246"/>
      <c r="D23" s="247"/>
      <c r="E23" s="287"/>
      <c r="F23" s="288"/>
      <c r="G23" s="288"/>
      <c r="H23" s="288"/>
      <c r="I23" s="289"/>
      <c r="J23" s="313"/>
      <c r="K23" s="314"/>
      <c r="L23" s="314"/>
      <c r="M23" s="314"/>
      <c r="N23" s="314"/>
      <c r="O23" s="315"/>
      <c r="P23" s="313"/>
      <c r="Q23" s="314"/>
      <c r="R23" s="314"/>
      <c r="S23" s="314"/>
      <c r="T23" s="314"/>
      <c r="U23" s="315"/>
      <c r="V23" s="313"/>
      <c r="W23" s="314"/>
      <c r="X23" s="314"/>
      <c r="Y23" s="314"/>
      <c r="Z23" s="314"/>
      <c r="AA23" s="315"/>
      <c r="AB23" s="297"/>
      <c r="AC23" s="293"/>
      <c r="AD23" s="293"/>
      <c r="AE23" s="293"/>
      <c r="AF23" s="293"/>
      <c r="AG23" s="294"/>
      <c r="AH23" s="304"/>
      <c r="AI23" s="305"/>
      <c r="AJ23" s="305"/>
      <c r="AK23" s="305"/>
      <c r="AL23" s="305"/>
      <c r="AM23" s="306"/>
      <c r="AN23" s="83"/>
      <c r="AO23" s="269"/>
      <c r="AP23" s="270"/>
      <c r="AQ23" s="270"/>
      <c r="AR23" s="270"/>
      <c r="AS23" s="270"/>
      <c r="AT23" s="27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
      <c r="A24" s="83"/>
      <c r="B24" s="246"/>
      <c r="C24" s="246"/>
      <c r="D24" s="247"/>
      <c r="E24" s="287"/>
      <c r="F24" s="288"/>
      <c r="G24" s="288"/>
      <c r="H24" s="288"/>
      <c r="I24" s="289"/>
      <c r="J24" s="313" t="str">
        <f>IF(AND('Mapa final'!$H$28="Media",'Mapa final'!$L$28="Leve"),CONCATENATE("R",'Mapa final'!$A$28),"")</f>
        <v/>
      </c>
      <c r="K24" s="314"/>
      <c r="L24" s="314" t="str">
        <f>IF(AND('Mapa final'!$H$34="Media",'Mapa final'!$L$34="Leve"),CONCATENATE("R",'Mapa final'!$A$34),"")</f>
        <v/>
      </c>
      <c r="M24" s="314"/>
      <c r="N24" s="314" t="str">
        <f>IF(AND('Mapa final'!$H$40="Media",'Mapa final'!$L$40="Leve"),CONCATENATE("R",'Mapa final'!$A$40),"")</f>
        <v/>
      </c>
      <c r="O24" s="315"/>
      <c r="P24" s="313" t="str">
        <f>IF(AND('Mapa final'!$H$28="Media",'Mapa final'!$L$28="Menor"),CONCATENATE("R",'Mapa final'!$A$28),"")</f>
        <v/>
      </c>
      <c r="Q24" s="314"/>
      <c r="R24" s="314" t="str">
        <f>IF(AND('Mapa final'!$H$34="Media",'Mapa final'!$L$34="Menor"),CONCATENATE("R",'Mapa final'!$A$34),"")</f>
        <v/>
      </c>
      <c r="S24" s="314"/>
      <c r="T24" s="314" t="str">
        <f>IF(AND('Mapa final'!$H$40="Media",'Mapa final'!$L$40="Menor"),CONCATENATE("R",'Mapa final'!$A$40),"")</f>
        <v/>
      </c>
      <c r="U24" s="315"/>
      <c r="V24" s="313" t="str">
        <f>IF(AND('Mapa final'!$H$28="Media",'Mapa final'!$L$28="Moderado"),CONCATENATE("R",'Mapa final'!$A$28),"")</f>
        <v/>
      </c>
      <c r="W24" s="314"/>
      <c r="X24" s="314" t="str">
        <f>IF(AND('Mapa final'!$H$34="Media",'Mapa final'!$L$34="Moderado"),CONCATENATE("R",'Mapa final'!$A$34),"")</f>
        <v/>
      </c>
      <c r="Y24" s="314"/>
      <c r="Z24" s="314" t="str">
        <f>IF(AND('Mapa final'!$H$40="Media",'Mapa final'!$L$40="Moderado"),CONCATENATE("R",'Mapa final'!$A$40),"")</f>
        <v/>
      </c>
      <c r="AA24" s="315"/>
      <c r="AB24" s="297" t="str">
        <f>IF(AND('Mapa final'!$H$28="Media",'Mapa final'!$L$28="Mayor"),CONCATENATE("R",'Mapa final'!$A$28),"")</f>
        <v/>
      </c>
      <c r="AC24" s="293"/>
      <c r="AD24" s="293" t="str">
        <f>IF(AND('Mapa final'!$H$34="Media",'Mapa final'!$L$34="Mayor"),CONCATENATE("R",'Mapa final'!$A$34),"")</f>
        <v>R5</v>
      </c>
      <c r="AE24" s="293"/>
      <c r="AF24" s="293" t="str">
        <f>IF(AND('Mapa final'!$H$40="Media",'Mapa final'!$L$40="Mayor"),CONCATENATE("R",'Mapa final'!$A$40),"")</f>
        <v>R6</v>
      </c>
      <c r="AG24" s="294"/>
      <c r="AH24" s="304" t="str">
        <f>IF(AND('Mapa final'!$H$28="Media",'Mapa final'!$L$28="Catastrófico"),CONCATENATE("R",'Mapa final'!$A$28),"")</f>
        <v/>
      </c>
      <c r="AI24" s="305"/>
      <c r="AJ24" s="305" t="str">
        <f>IF(AND('Mapa final'!$H$34="Media",'Mapa final'!$L$34="Catastrófico"),CONCATENATE("R",'Mapa final'!$A$34),"")</f>
        <v/>
      </c>
      <c r="AK24" s="305"/>
      <c r="AL24" s="305" t="str">
        <f>IF(AND('Mapa final'!$H$40="Media",'Mapa final'!$L$40="Catastrófico"),CONCATENATE("R",'Mapa final'!$A$40),"")</f>
        <v/>
      </c>
      <c r="AM24" s="306"/>
      <c r="AN24" s="83"/>
      <c r="AO24" s="269"/>
      <c r="AP24" s="270"/>
      <c r="AQ24" s="270"/>
      <c r="AR24" s="270"/>
      <c r="AS24" s="270"/>
      <c r="AT24" s="27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
      <c r="A25" s="83"/>
      <c r="B25" s="246"/>
      <c r="C25" s="246"/>
      <c r="D25" s="247"/>
      <c r="E25" s="287"/>
      <c r="F25" s="288"/>
      <c r="G25" s="288"/>
      <c r="H25" s="288"/>
      <c r="I25" s="289"/>
      <c r="J25" s="313"/>
      <c r="K25" s="314"/>
      <c r="L25" s="314"/>
      <c r="M25" s="314"/>
      <c r="N25" s="314"/>
      <c r="O25" s="315"/>
      <c r="P25" s="313"/>
      <c r="Q25" s="314"/>
      <c r="R25" s="314"/>
      <c r="S25" s="314"/>
      <c r="T25" s="314"/>
      <c r="U25" s="315"/>
      <c r="V25" s="313"/>
      <c r="W25" s="314"/>
      <c r="X25" s="314"/>
      <c r="Y25" s="314"/>
      <c r="Z25" s="314"/>
      <c r="AA25" s="315"/>
      <c r="AB25" s="297"/>
      <c r="AC25" s="293"/>
      <c r="AD25" s="293"/>
      <c r="AE25" s="293"/>
      <c r="AF25" s="293"/>
      <c r="AG25" s="294"/>
      <c r="AH25" s="304"/>
      <c r="AI25" s="305"/>
      <c r="AJ25" s="305"/>
      <c r="AK25" s="305"/>
      <c r="AL25" s="305"/>
      <c r="AM25" s="306"/>
      <c r="AN25" s="83"/>
      <c r="AO25" s="269"/>
      <c r="AP25" s="270"/>
      <c r="AQ25" s="270"/>
      <c r="AR25" s="270"/>
      <c r="AS25" s="270"/>
      <c r="AT25" s="27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
      <c r="A26" s="83"/>
      <c r="B26" s="246"/>
      <c r="C26" s="246"/>
      <c r="D26" s="247"/>
      <c r="E26" s="287"/>
      <c r="F26" s="288"/>
      <c r="G26" s="288"/>
      <c r="H26" s="288"/>
      <c r="I26" s="289"/>
      <c r="J26" s="313" t="str">
        <f>IF(AND('Mapa final'!$H$46="Media",'Mapa final'!$L$46="Leve"),CONCATENATE("R",'Mapa final'!$A$46),"")</f>
        <v/>
      </c>
      <c r="K26" s="314"/>
      <c r="L26" s="314" t="str">
        <f>IF(AND('Mapa final'!$H$58="Media",'Mapa final'!$L$58="Leve"),CONCATENATE("R",'Mapa final'!$A$58),"")</f>
        <v/>
      </c>
      <c r="M26" s="314"/>
      <c r="N26" s="314" t="str">
        <f>IF(AND('Mapa final'!$H$64="Media",'Mapa final'!$L$64="Leve"),CONCATENATE("R",'Mapa final'!$A$64),"")</f>
        <v/>
      </c>
      <c r="O26" s="315"/>
      <c r="P26" s="313" t="str">
        <f>IF(AND('Mapa final'!$H$46="Media",'Mapa final'!$L$46="Menor"),CONCATENATE("R",'Mapa final'!$A$46),"")</f>
        <v>R7</v>
      </c>
      <c r="Q26" s="314"/>
      <c r="R26" s="314" t="str">
        <f>IF(AND('Mapa final'!$H$58="Media",'Mapa final'!$L$58="Menor"),CONCATENATE("R",'Mapa final'!$A$58),"")</f>
        <v/>
      </c>
      <c r="S26" s="314"/>
      <c r="T26" s="314" t="str">
        <f>IF(AND('Mapa final'!$H$64="Media",'Mapa final'!$L$64="Menor"),CONCATENATE("R",'Mapa final'!$A$64),"")</f>
        <v/>
      </c>
      <c r="U26" s="315"/>
      <c r="V26" s="313" t="str">
        <f>IF(AND('Mapa final'!$H$46="Media",'Mapa final'!$L$46="Moderado"),CONCATENATE("R",'Mapa final'!$A$46),"")</f>
        <v/>
      </c>
      <c r="W26" s="314"/>
      <c r="X26" s="314" t="str">
        <f>IF(AND('Mapa final'!$H$58="Media",'Mapa final'!$L$58="Moderado"),CONCATENATE("R",'Mapa final'!$A$58),"")</f>
        <v/>
      </c>
      <c r="Y26" s="314"/>
      <c r="Z26" s="314" t="str">
        <f>IF(AND('Mapa final'!$H$64="Media",'Mapa final'!$L$64="Moderado"),CONCATENATE("R",'Mapa final'!$A$64),"")</f>
        <v/>
      </c>
      <c r="AA26" s="315"/>
      <c r="AB26" s="297" t="str">
        <f>IF(AND('Mapa final'!$H$46="Media",'Mapa final'!$L$46="Mayor"),CONCATENATE("R",'Mapa final'!$A$46),"")</f>
        <v/>
      </c>
      <c r="AC26" s="293"/>
      <c r="AD26" s="293" t="str">
        <f>IF(AND('Mapa final'!$H$58="Media",'Mapa final'!$L$58="Mayor"),CONCATENATE("R",'Mapa final'!$A$58),"")</f>
        <v>R9</v>
      </c>
      <c r="AE26" s="293"/>
      <c r="AF26" s="293" t="str">
        <f>IF(AND('Mapa final'!$H$64="Media",'Mapa final'!$L$64="Mayor"),CONCATENATE("R",'Mapa final'!$A$64),"")</f>
        <v/>
      </c>
      <c r="AG26" s="294"/>
      <c r="AH26" s="304" t="str">
        <f>IF(AND('Mapa final'!$H$46="Media",'Mapa final'!$L$46="Catastrófico"),CONCATENATE("R",'Mapa final'!$A$46),"")</f>
        <v/>
      </c>
      <c r="AI26" s="305"/>
      <c r="AJ26" s="305" t="str">
        <f>IF(AND('Mapa final'!$H$58="Media",'Mapa final'!$L$58="Catastrófico"),CONCATENATE("R",'Mapa final'!$A$58),"")</f>
        <v/>
      </c>
      <c r="AK26" s="305"/>
      <c r="AL26" s="305" t="str">
        <f>IF(AND('Mapa final'!$H$64="Media",'Mapa final'!$L$64="Catastrófico"),CONCATENATE("R",'Mapa final'!$A$64),"")</f>
        <v>R10</v>
      </c>
      <c r="AM26" s="306"/>
      <c r="AN26" s="83"/>
      <c r="AO26" s="269"/>
      <c r="AP26" s="270"/>
      <c r="AQ26" s="270"/>
      <c r="AR26" s="270"/>
      <c r="AS26" s="270"/>
      <c r="AT26" s="27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
      <c r="A27" s="83"/>
      <c r="B27" s="246"/>
      <c r="C27" s="246"/>
      <c r="D27" s="247"/>
      <c r="E27" s="287"/>
      <c r="F27" s="288"/>
      <c r="G27" s="288"/>
      <c r="H27" s="288"/>
      <c r="I27" s="289"/>
      <c r="J27" s="313"/>
      <c r="K27" s="314"/>
      <c r="L27" s="314"/>
      <c r="M27" s="314"/>
      <c r="N27" s="314"/>
      <c r="O27" s="315"/>
      <c r="P27" s="313"/>
      <c r="Q27" s="314"/>
      <c r="R27" s="314"/>
      <c r="S27" s="314"/>
      <c r="T27" s="314"/>
      <c r="U27" s="315"/>
      <c r="V27" s="313"/>
      <c r="W27" s="314"/>
      <c r="X27" s="314"/>
      <c r="Y27" s="314"/>
      <c r="Z27" s="314"/>
      <c r="AA27" s="315"/>
      <c r="AB27" s="297"/>
      <c r="AC27" s="293"/>
      <c r="AD27" s="293"/>
      <c r="AE27" s="293"/>
      <c r="AF27" s="293"/>
      <c r="AG27" s="294"/>
      <c r="AH27" s="304"/>
      <c r="AI27" s="305"/>
      <c r="AJ27" s="305"/>
      <c r="AK27" s="305"/>
      <c r="AL27" s="305"/>
      <c r="AM27" s="306"/>
      <c r="AN27" s="83"/>
      <c r="AO27" s="269"/>
      <c r="AP27" s="270"/>
      <c r="AQ27" s="270"/>
      <c r="AR27" s="270"/>
      <c r="AS27" s="270"/>
      <c r="AT27" s="27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
      <c r="A28" s="83"/>
      <c r="B28" s="246"/>
      <c r="C28" s="246"/>
      <c r="D28" s="247"/>
      <c r="E28" s="287"/>
      <c r="F28" s="288"/>
      <c r="G28" s="288"/>
      <c r="H28" s="288"/>
      <c r="I28" s="289"/>
      <c r="J28" s="313" t="e">
        <f>IF(AND('Mapa final'!#REF!="Media",'Mapa final'!#REF!="Leve"),CONCATENATE("R",'Mapa final'!#REF!),"")</f>
        <v>#REF!</v>
      </c>
      <c r="K28" s="314"/>
      <c r="L28" s="314" t="str">
        <f>IF(AND('Mapa final'!$H$221="Media",'Mapa final'!$L$221="Leve"),CONCATENATE("R",'Mapa final'!$A$221),"")</f>
        <v/>
      </c>
      <c r="M28" s="314"/>
      <c r="N28" s="314" t="str">
        <f>IF(AND('Mapa final'!$H$227="Media",'Mapa final'!$L$227="Leve"),CONCATENATE("R",'Mapa final'!$A$227),"")</f>
        <v/>
      </c>
      <c r="O28" s="315"/>
      <c r="P28" s="313" t="e">
        <f>IF(AND('Mapa final'!#REF!="Media",'Mapa final'!#REF!="Menor"),CONCATENATE("R",'Mapa final'!#REF!),"")</f>
        <v>#REF!</v>
      </c>
      <c r="Q28" s="314"/>
      <c r="R28" s="314" t="str">
        <f>IF(AND('Mapa final'!$H$221="Media",'Mapa final'!$L$221="Menor"),CONCATENATE("R",'Mapa final'!$A$221),"")</f>
        <v/>
      </c>
      <c r="S28" s="314"/>
      <c r="T28" s="314" t="str">
        <f>IF(AND('Mapa final'!$H$227="Media",'Mapa final'!$L$227="Menor"),CONCATENATE("R",'Mapa final'!$A$227),"")</f>
        <v/>
      </c>
      <c r="U28" s="315"/>
      <c r="V28" s="313" t="e">
        <f>IF(AND('Mapa final'!#REF!="Media",'Mapa final'!#REF!="Moderado"),CONCATENATE("R",'Mapa final'!#REF!),"")</f>
        <v>#REF!</v>
      </c>
      <c r="W28" s="314"/>
      <c r="X28" s="314" t="str">
        <f>IF(AND('Mapa final'!$H$221="Media",'Mapa final'!$L$221="Moderado"),CONCATENATE("R",'Mapa final'!$A$221),"")</f>
        <v/>
      </c>
      <c r="Y28" s="314"/>
      <c r="Z28" s="314" t="str">
        <f>IF(AND('Mapa final'!$H$227="Media",'Mapa final'!$L$227="Moderado"),CONCATENATE("R",'Mapa final'!$A$227),"")</f>
        <v/>
      </c>
      <c r="AA28" s="315"/>
      <c r="AB28" s="297" t="e">
        <f>IF(AND('Mapa final'!#REF!="Media",'Mapa final'!#REF!="Mayor"),CONCATENATE("R",'Mapa final'!#REF!),"")</f>
        <v>#REF!</v>
      </c>
      <c r="AC28" s="293"/>
      <c r="AD28" s="293" t="str">
        <f>IF(AND('Mapa final'!$H$221="Media",'Mapa final'!$L$221="Mayor"),CONCATENATE("R",'Mapa final'!$A$221),"")</f>
        <v/>
      </c>
      <c r="AE28" s="293"/>
      <c r="AF28" s="293" t="str">
        <f>IF(AND('Mapa final'!$H$227="Media",'Mapa final'!$L$227="Mayor"),CONCATENATE("R",'Mapa final'!$A$227),"")</f>
        <v/>
      </c>
      <c r="AG28" s="294"/>
      <c r="AH28" s="304" t="e">
        <f>IF(AND('Mapa final'!#REF!="Media",'Mapa final'!#REF!="Catastrófico"),CONCATENATE("R",'Mapa final'!#REF!),"")</f>
        <v>#REF!</v>
      </c>
      <c r="AI28" s="305"/>
      <c r="AJ28" s="305" t="str">
        <f>IF(AND('Mapa final'!$H$221="Media",'Mapa final'!$L$221="Catastrófico"),CONCATENATE("R",'Mapa final'!$A$221),"")</f>
        <v/>
      </c>
      <c r="AK28" s="305"/>
      <c r="AL28" s="305" t="str">
        <f>IF(AND('Mapa final'!$H$227="Media",'Mapa final'!$L$227="Catastrófico"),CONCATENATE("R",'Mapa final'!$A$227),"")</f>
        <v/>
      </c>
      <c r="AM28" s="306"/>
      <c r="AN28" s="83"/>
      <c r="AO28" s="269"/>
      <c r="AP28" s="270"/>
      <c r="AQ28" s="270"/>
      <c r="AR28" s="270"/>
      <c r="AS28" s="270"/>
      <c r="AT28" s="27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6" thickBot="1" x14ac:dyDescent="0.25">
      <c r="A29" s="83"/>
      <c r="B29" s="246"/>
      <c r="C29" s="246"/>
      <c r="D29" s="247"/>
      <c r="E29" s="290"/>
      <c r="F29" s="291"/>
      <c r="G29" s="291"/>
      <c r="H29" s="291"/>
      <c r="I29" s="292"/>
      <c r="J29" s="313"/>
      <c r="K29" s="314"/>
      <c r="L29" s="314"/>
      <c r="M29" s="314"/>
      <c r="N29" s="314"/>
      <c r="O29" s="315"/>
      <c r="P29" s="316"/>
      <c r="Q29" s="317"/>
      <c r="R29" s="317"/>
      <c r="S29" s="317"/>
      <c r="T29" s="317"/>
      <c r="U29" s="318"/>
      <c r="V29" s="316"/>
      <c r="W29" s="317"/>
      <c r="X29" s="317"/>
      <c r="Y29" s="317"/>
      <c r="Z29" s="317"/>
      <c r="AA29" s="318"/>
      <c r="AB29" s="301"/>
      <c r="AC29" s="302"/>
      <c r="AD29" s="302"/>
      <c r="AE29" s="302"/>
      <c r="AF29" s="302"/>
      <c r="AG29" s="303"/>
      <c r="AH29" s="307"/>
      <c r="AI29" s="308"/>
      <c r="AJ29" s="308"/>
      <c r="AK29" s="308"/>
      <c r="AL29" s="308"/>
      <c r="AM29" s="309"/>
      <c r="AN29" s="83"/>
      <c r="AO29" s="272"/>
      <c r="AP29" s="273"/>
      <c r="AQ29" s="273"/>
      <c r="AR29" s="273"/>
      <c r="AS29" s="273"/>
      <c r="AT29" s="27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
      <c r="A30" s="83"/>
      <c r="B30" s="246"/>
      <c r="C30" s="246"/>
      <c r="D30" s="247"/>
      <c r="E30" s="284" t="s">
        <v>112</v>
      </c>
      <c r="F30" s="285"/>
      <c r="G30" s="285"/>
      <c r="H30" s="285"/>
      <c r="I30" s="285"/>
      <c r="J30" s="328" t="str">
        <f>IF(AND('Mapa final'!$H$10="Baja",'Mapa final'!$L$10="Leve"),CONCATENATE("R",'Mapa final'!$A$10),"")</f>
        <v/>
      </c>
      <c r="K30" s="329"/>
      <c r="L30" s="329" t="str">
        <f>IF(AND('Mapa final'!$H$16="Baja",'Mapa final'!$L$16="Leve"),CONCATENATE("R",'Mapa final'!$A$16),"")</f>
        <v/>
      </c>
      <c r="M30" s="329"/>
      <c r="N30" s="329" t="str">
        <f>IF(AND('Mapa final'!$H$22="Baja",'Mapa final'!$L$22="Leve"),CONCATENATE("R",'Mapa final'!$A$22),"")</f>
        <v/>
      </c>
      <c r="O30" s="330"/>
      <c r="P30" s="320" t="str">
        <f>IF(AND('Mapa final'!$H$10="Baja",'Mapa final'!$L$10="Menor"),CONCATENATE("R",'Mapa final'!$A$10),"")</f>
        <v/>
      </c>
      <c r="Q30" s="320"/>
      <c r="R30" s="320" t="str">
        <f>IF(AND('Mapa final'!$H$16="Baja",'Mapa final'!$L$16="Menor"),CONCATENATE("R",'Mapa final'!$A$16),"")</f>
        <v>R2</v>
      </c>
      <c r="S30" s="320"/>
      <c r="T30" s="320" t="str">
        <f>IF(AND('Mapa final'!$H$22="Baja",'Mapa final'!$L$22="Menor"),CONCATENATE("R",'Mapa final'!$A$22),"")</f>
        <v/>
      </c>
      <c r="U30" s="321"/>
      <c r="V30" s="319" t="str">
        <f>IF(AND('Mapa final'!$H$10="Baja",'Mapa final'!$L$10="Moderado"),CONCATENATE("R",'Mapa final'!$A$10),"")</f>
        <v/>
      </c>
      <c r="W30" s="320"/>
      <c r="X30" s="320" t="str">
        <f>IF(AND('Mapa final'!$H$16="Baja",'Mapa final'!$L$16="Moderado"),CONCATENATE("R",'Mapa final'!$A$16),"")</f>
        <v/>
      </c>
      <c r="Y30" s="320"/>
      <c r="Z30" s="320" t="str">
        <f>IF(AND('Mapa final'!$H$22="Baja",'Mapa final'!$L$22="Moderado"),CONCATENATE("R",'Mapa final'!$A$22),"")</f>
        <v/>
      </c>
      <c r="AA30" s="321"/>
      <c r="AB30" s="295" t="str">
        <f>IF(AND('Mapa final'!$H$10="Baja",'Mapa final'!$L$10="Mayor"),CONCATENATE("R",'Mapa final'!$A$10),"")</f>
        <v/>
      </c>
      <c r="AC30" s="296"/>
      <c r="AD30" s="296" t="str">
        <f>IF(AND('Mapa final'!$H$16="Baja",'Mapa final'!$L$16="Mayor"),CONCATENATE("R",'Mapa final'!$A$16),"")</f>
        <v/>
      </c>
      <c r="AE30" s="296"/>
      <c r="AF30" s="296" t="str">
        <f>IF(AND('Mapa final'!$H$22="Baja",'Mapa final'!$L$22="Mayor"),CONCATENATE("R",'Mapa final'!$A$22),"")</f>
        <v/>
      </c>
      <c r="AG30" s="298"/>
      <c r="AH30" s="310" t="str">
        <f>IF(AND('Mapa final'!$H$10="Baja",'Mapa final'!$L$10="Catastrófico"),CONCATENATE("R",'Mapa final'!$A$10),"")</f>
        <v/>
      </c>
      <c r="AI30" s="311"/>
      <c r="AJ30" s="311" t="str">
        <f>IF(AND('Mapa final'!$H$16="Baja",'Mapa final'!$L$16="Catastrófico"),CONCATENATE("R",'Mapa final'!$A$16),"")</f>
        <v/>
      </c>
      <c r="AK30" s="311"/>
      <c r="AL30" s="311" t="str">
        <f>IF(AND('Mapa final'!$H$22="Baja",'Mapa final'!$L$22="Catastrófico"),CONCATENATE("R",'Mapa final'!$A$22),"")</f>
        <v/>
      </c>
      <c r="AM30" s="312"/>
      <c r="AN30" s="83"/>
      <c r="AO30" s="275" t="s">
        <v>80</v>
      </c>
      <c r="AP30" s="276"/>
      <c r="AQ30" s="276"/>
      <c r="AR30" s="276"/>
      <c r="AS30" s="276"/>
      <c r="AT30" s="27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
      <c r="A31" s="83"/>
      <c r="B31" s="246"/>
      <c r="C31" s="246"/>
      <c r="D31" s="247"/>
      <c r="E31" s="287"/>
      <c r="F31" s="288"/>
      <c r="G31" s="288"/>
      <c r="H31" s="288"/>
      <c r="I31" s="288"/>
      <c r="J31" s="324"/>
      <c r="K31" s="322"/>
      <c r="L31" s="322"/>
      <c r="M31" s="322"/>
      <c r="N31" s="322"/>
      <c r="O31" s="323"/>
      <c r="P31" s="314"/>
      <c r="Q31" s="314"/>
      <c r="R31" s="314"/>
      <c r="S31" s="314"/>
      <c r="T31" s="314"/>
      <c r="U31" s="315"/>
      <c r="V31" s="313"/>
      <c r="W31" s="314"/>
      <c r="X31" s="314"/>
      <c r="Y31" s="314"/>
      <c r="Z31" s="314"/>
      <c r="AA31" s="315"/>
      <c r="AB31" s="297"/>
      <c r="AC31" s="293"/>
      <c r="AD31" s="293"/>
      <c r="AE31" s="293"/>
      <c r="AF31" s="293"/>
      <c r="AG31" s="294"/>
      <c r="AH31" s="304"/>
      <c r="AI31" s="305"/>
      <c r="AJ31" s="305"/>
      <c r="AK31" s="305"/>
      <c r="AL31" s="305"/>
      <c r="AM31" s="306"/>
      <c r="AN31" s="83"/>
      <c r="AO31" s="278"/>
      <c r="AP31" s="279"/>
      <c r="AQ31" s="279"/>
      <c r="AR31" s="279"/>
      <c r="AS31" s="279"/>
      <c r="AT31" s="2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
      <c r="A32" s="83"/>
      <c r="B32" s="246"/>
      <c r="C32" s="246"/>
      <c r="D32" s="247"/>
      <c r="E32" s="287"/>
      <c r="F32" s="288"/>
      <c r="G32" s="288"/>
      <c r="H32" s="288"/>
      <c r="I32" s="288"/>
      <c r="J32" s="324" t="str">
        <f>IF(AND('Mapa final'!$H$28="Baja",'Mapa final'!$L$28="Leve"),CONCATENATE("R",'Mapa final'!$A$28),"")</f>
        <v/>
      </c>
      <c r="K32" s="322"/>
      <c r="L32" s="322" t="str">
        <f>IF(AND('Mapa final'!$H$34="Baja",'Mapa final'!$L$34="Leve"),CONCATENATE("R",'Mapa final'!$A$34),"")</f>
        <v/>
      </c>
      <c r="M32" s="322"/>
      <c r="N32" s="322" t="str">
        <f>IF(AND('Mapa final'!$H$40="Baja",'Mapa final'!$L$40="Leve"),CONCATENATE("R",'Mapa final'!$A$40),"")</f>
        <v/>
      </c>
      <c r="O32" s="323"/>
      <c r="P32" s="314" t="str">
        <f>IF(AND('Mapa final'!$H$28="Baja",'Mapa final'!$L$28="Menor"),CONCATENATE("R",'Mapa final'!$A$28),"")</f>
        <v/>
      </c>
      <c r="Q32" s="314"/>
      <c r="R32" s="314" t="str">
        <f>IF(AND('Mapa final'!$H$34="Baja",'Mapa final'!$L$34="Menor"),CONCATENATE("R",'Mapa final'!$A$34),"")</f>
        <v/>
      </c>
      <c r="S32" s="314"/>
      <c r="T32" s="314" t="str">
        <f>IF(AND('Mapa final'!$H$40="Baja",'Mapa final'!$L$40="Menor"),CONCATENATE("R",'Mapa final'!$A$40),"")</f>
        <v/>
      </c>
      <c r="U32" s="315"/>
      <c r="V32" s="313" t="str">
        <f>IF(AND('Mapa final'!$H$28="Baja",'Mapa final'!$L$28="Moderado"),CONCATENATE("R",'Mapa final'!$A$28),"")</f>
        <v/>
      </c>
      <c r="W32" s="314"/>
      <c r="X32" s="314" t="str">
        <f>IF(AND('Mapa final'!$H$34="Baja",'Mapa final'!$L$34="Moderado"),CONCATENATE("R",'Mapa final'!$A$34),"")</f>
        <v/>
      </c>
      <c r="Y32" s="314"/>
      <c r="Z32" s="314" t="str">
        <f>IF(AND('Mapa final'!$H$40="Baja",'Mapa final'!$L$40="Moderado"),CONCATENATE("R",'Mapa final'!$A$40),"")</f>
        <v/>
      </c>
      <c r="AA32" s="315"/>
      <c r="AB32" s="297" t="str">
        <f>IF(AND('Mapa final'!$H$28="Baja",'Mapa final'!$L$28="Mayor"),CONCATENATE("R",'Mapa final'!$A$28),"")</f>
        <v/>
      </c>
      <c r="AC32" s="293"/>
      <c r="AD32" s="293" t="str">
        <f>IF(AND('Mapa final'!$H$34="Baja",'Mapa final'!$L$34="Mayor"),CONCATENATE("R",'Mapa final'!$A$34),"")</f>
        <v/>
      </c>
      <c r="AE32" s="293"/>
      <c r="AF32" s="293" t="str">
        <f>IF(AND('Mapa final'!$H$40="Baja",'Mapa final'!$L$40="Mayor"),CONCATENATE("R",'Mapa final'!$A$40),"")</f>
        <v/>
      </c>
      <c r="AG32" s="294"/>
      <c r="AH32" s="304" t="str">
        <f>IF(AND('Mapa final'!$H$28="Baja",'Mapa final'!$L$28="Catastrófico"),CONCATENATE("R",'Mapa final'!$A$28),"")</f>
        <v/>
      </c>
      <c r="AI32" s="305"/>
      <c r="AJ32" s="305" t="str">
        <f>IF(AND('Mapa final'!$H$34="Baja",'Mapa final'!$L$34="Catastrófico"),CONCATENATE("R",'Mapa final'!$A$34),"")</f>
        <v/>
      </c>
      <c r="AK32" s="305"/>
      <c r="AL32" s="305" t="str">
        <f>IF(AND('Mapa final'!$H$40="Baja",'Mapa final'!$L$40="Catastrófico"),CONCATENATE("R",'Mapa final'!$A$40),"")</f>
        <v/>
      </c>
      <c r="AM32" s="306"/>
      <c r="AN32" s="83"/>
      <c r="AO32" s="278"/>
      <c r="AP32" s="279"/>
      <c r="AQ32" s="279"/>
      <c r="AR32" s="279"/>
      <c r="AS32" s="279"/>
      <c r="AT32" s="2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
      <c r="A33" s="83"/>
      <c r="B33" s="246"/>
      <c r="C33" s="246"/>
      <c r="D33" s="247"/>
      <c r="E33" s="287"/>
      <c r="F33" s="288"/>
      <c r="G33" s="288"/>
      <c r="H33" s="288"/>
      <c r="I33" s="288"/>
      <c r="J33" s="324"/>
      <c r="K33" s="322"/>
      <c r="L33" s="322"/>
      <c r="M33" s="322"/>
      <c r="N33" s="322"/>
      <c r="O33" s="323"/>
      <c r="P33" s="314"/>
      <c r="Q33" s="314"/>
      <c r="R33" s="314"/>
      <c r="S33" s="314"/>
      <c r="T33" s="314"/>
      <c r="U33" s="315"/>
      <c r="V33" s="313"/>
      <c r="W33" s="314"/>
      <c r="X33" s="314"/>
      <c r="Y33" s="314"/>
      <c r="Z33" s="314"/>
      <c r="AA33" s="315"/>
      <c r="AB33" s="297"/>
      <c r="AC33" s="293"/>
      <c r="AD33" s="293"/>
      <c r="AE33" s="293"/>
      <c r="AF33" s="293"/>
      <c r="AG33" s="294"/>
      <c r="AH33" s="304"/>
      <c r="AI33" s="305"/>
      <c r="AJ33" s="305"/>
      <c r="AK33" s="305"/>
      <c r="AL33" s="305"/>
      <c r="AM33" s="306"/>
      <c r="AN33" s="83"/>
      <c r="AO33" s="278"/>
      <c r="AP33" s="279"/>
      <c r="AQ33" s="279"/>
      <c r="AR33" s="279"/>
      <c r="AS33" s="279"/>
      <c r="AT33" s="2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
      <c r="A34" s="83"/>
      <c r="B34" s="246"/>
      <c r="C34" s="246"/>
      <c r="D34" s="247"/>
      <c r="E34" s="287"/>
      <c r="F34" s="288"/>
      <c r="G34" s="288"/>
      <c r="H34" s="288"/>
      <c r="I34" s="288"/>
      <c r="J34" s="324" t="str">
        <f>IF(AND('Mapa final'!$H$46="Baja",'Mapa final'!$L$46="Leve"),CONCATENATE("R",'Mapa final'!$A$46),"")</f>
        <v/>
      </c>
      <c r="K34" s="322"/>
      <c r="L34" s="322" t="str">
        <f>IF(AND('Mapa final'!$H$58="Baja",'Mapa final'!$L$58="Leve"),CONCATENATE("R",'Mapa final'!$A$58),"")</f>
        <v/>
      </c>
      <c r="M34" s="322"/>
      <c r="N34" s="322" t="str">
        <f>IF(AND('Mapa final'!$H$64="Baja",'Mapa final'!$L$64="Leve"),CONCATENATE("R",'Mapa final'!$A$64),"")</f>
        <v/>
      </c>
      <c r="O34" s="323"/>
      <c r="P34" s="314" t="str">
        <f>IF(AND('Mapa final'!$H$46="Baja",'Mapa final'!$L$46="Menor"),CONCATENATE("R",'Mapa final'!$A$46),"")</f>
        <v/>
      </c>
      <c r="Q34" s="314"/>
      <c r="R34" s="314" t="str">
        <f>IF(AND('Mapa final'!$H$58="Baja",'Mapa final'!$L$58="Menor"),CONCATENATE("R",'Mapa final'!$A$58),"")</f>
        <v/>
      </c>
      <c r="S34" s="314"/>
      <c r="T34" s="314" t="str">
        <f>IF(AND('Mapa final'!$H$64="Baja",'Mapa final'!$L$64="Menor"),CONCATENATE("R",'Mapa final'!$A$64),"")</f>
        <v/>
      </c>
      <c r="U34" s="315"/>
      <c r="V34" s="313" t="str">
        <f>IF(AND('Mapa final'!$H$46="Baja",'Mapa final'!$L$46="Moderado"),CONCATENATE("R",'Mapa final'!$A$46),"")</f>
        <v/>
      </c>
      <c r="W34" s="314"/>
      <c r="X34" s="314" t="str">
        <f>IF(AND('Mapa final'!$H$58="Baja",'Mapa final'!$L$58="Moderado"),CONCATENATE("R",'Mapa final'!$A$58),"")</f>
        <v/>
      </c>
      <c r="Y34" s="314"/>
      <c r="Z34" s="314" t="str">
        <f>IF(AND('Mapa final'!$H$64="Baja",'Mapa final'!$L$64="Moderado"),CONCATENATE("R",'Mapa final'!$A$64),"")</f>
        <v/>
      </c>
      <c r="AA34" s="315"/>
      <c r="AB34" s="297" t="str">
        <f>IF(AND('Mapa final'!$H$46="Baja",'Mapa final'!$L$46="Mayor"),CONCATENATE("R",'Mapa final'!$A$46),"")</f>
        <v/>
      </c>
      <c r="AC34" s="293"/>
      <c r="AD34" s="293" t="str">
        <f>IF(AND('Mapa final'!$H$58="Baja",'Mapa final'!$L$58="Mayor"),CONCATENATE("R",'Mapa final'!$A$58),"")</f>
        <v/>
      </c>
      <c r="AE34" s="293"/>
      <c r="AF34" s="293" t="str">
        <f>IF(AND('Mapa final'!$H$64="Baja",'Mapa final'!$L$64="Mayor"),CONCATENATE("R",'Mapa final'!$A$64),"")</f>
        <v/>
      </c>
      <c r="AG34" s="294"/>
      <c r="AH34" s="304" t="str">
        <f>IF(AND('Mapa final'!$H$46="Baja",'Mapa final'!$L$46="Catastrófico"),CONCATENATE("R",'Mapa final'!$A$46),"")</f>
        <v/>
      </c>
      <c r="AI34" s="305"/>
      <c r="AJ34" s="305" t="str">
        <f>IF(AND('Mapa final'!$H$58="Baja",'Mapa final'!$L$58="Catastrófico"),CONCATENATE("R",'Mapa final'!$A$58),"")</f>
        <v/>
      </c>
      <c r="AK34" s="305"/>
      <c r="AL34" s="305" t="str">
        <f>IF(AND('Mapa final'!$H$64="Baja",'Mapa final'!$L$64="Catastrófico"),CONCATENATE("R",'Mapa final'!$A$64),"")</f>
        <v/>
      </c>
      <c r="AM34" s="306"/>
      <c r="AN34" s="83"/>
      <c r="AO34" s="278"/>
      <c r="AP34" s="279"/>
      <c r="AQ34" s="279"/>
      <c r="AR34" s="279"/>
      <c r="AS34" s="279"/>
      <c r="AT34" s="2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
      <c r="A35" s="83"/>
      <c r="B35" s="246"/>
      <c r="C35" s="246"/>
      <c r="D35" s="247"/>
      <c r="E35" s="287"/>
      <c r="F35" s="288"/>
      <c r="G35" s="288"/>
      <c r="H35" s="288"/>
      <c r="I35" s="288"/>
      <c r="J35" s="324"/>
      <c r="K35" s="322"/>
      <c r="L35" s="322"/>
      <c r="M35" s="322"/>
      <c r="N35" s="322"/>
      <c r="O35" s="323"/>
      <c r="P35" s="314"/>
      <c r="Q35" s="314"/>
      <c r="R35" s="314"/>
      <c r="S35" s="314"/>
      <c r="T35" s="314"/>
      <c r="U35" s="315"/>
      <c r="V35" s="313"/>
      <c r="W35" s="314"/>
      <c r="X35" s="314"/>
      <c r="Y35" s="314"/>
      <c r="Z35" s="314"/>
      <c r="AA35" s="315"/>
      <c r="AB35" s="297"/>
      <c r="AC35" s="293"/>
      <c r="AD35" s="293"/>
      <c r="AE35" s="293"/>
      <c r="AF35" s="293"/>
      <c r="AG35" s="294"/>
      <c r="AH35" s="304"/>
      <c r="AI35" s="305"/>
      <c r="AJ35" s="305"/>
      <c r="AK35" s="305"/>
      <c r="AL35" s="305"/>
      <c r="AM35" s="306"/>
      <c r="AN35" s="83"/>
      <c r="AO35" s="278"/>
      <c r="AP35" s="279"/>
      <c r="AQ35" s="279"/>
      <c r="AR35" s="279"/>
      <c r="AS35" s="279"/>
      <c r="AT35" s="28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
      <c r="A36" s="83"/>
      <c r="B36" s="246"/>
      <c r="C36" s="246"/>
      <c r="D36" s="247"/>
      <c r="E36" s="287"/>
      <c r="F36" s="288"/>
      <c r="G36" s="288"/>
      <c r="H36" s="288"/>
      <c r="I36" s="288"/>
      <c r="J36" s="324" t="e">
        <f>IF(AND('Mapa final'!#REF!="Baja",'Mapa final'!#REF!="Leve"),CONCATENATE("R",'Mapa final'!#REF!),"")</f>
        <v>#REF!</v>
      </c>
      <c r="K36" s="322"/>
      <c r="L36" s="322" t="str">
        <f>IF(AND('Mapa final'!$H$221="Baja",'Mapa final'!$L$221="Leve"),CONCATENATE("R",'Mapa final'!$A$221),"")</f>
        <v/>
      </c>
      <c r="M36" s="322"/>
      <c r="N36" s="322" t="str">
        <f>IF(AND('Mapa final'!$H$227="Baja",'Mapa final'!$L$227="Leve"),CONCATENATE("R",'Mapa final'!$A$227),"")</f>
        <v/>
      </c>
      <c r="O36" s="323"/>
      <c r="P36" s="314" t="e">
        <f>IF(AND('Mapa final'!#REF!="Baja",'Mapa final'!#REF!="Menor"),CONCATENATE("R",'Mapa final'!#REF!),"")</f>
        <v>#REF!</v>
      </c>
      <c r="Q36" s="314"/>
      <c r="R36" s="314" t="str">
        <f>IF(AND('Mapa final'!$H$221="Baja",'Mapa final'!$L$221="Menor"),CONCATENATE("R",'Mapa final'!$A$221),"")</f>
        <v/>
      </c>
      <c r="S36" s="314"/>
      <c r="T36" s="314" t="str">
        <f>IF(AND('Mapa final'!$H$227="Baja",'Mapa final'!$L$227="Menor"),CONCATENATE("R",'Mapa final'!$A$227),"")</f>
        <v/>
      </c>
      <c r="U36" s="315"/>
      <c r="V36" s="313" t="e">
        <f>IF(AND('Mapa final'!#REF!="Baja",'Mapa final'!#REF!="Moderado"),CONCATENATE("R",'Mapa final'!#REF!),"")</f>
        <v>#REF!</v>
      </c>
      <c r="W36" s="314"/>
      <c r="X36" s="314" t="str">
        <f>IF(AND('Mapa final'!$H$221="Baja",'Mapa final'!$L$221="Moderado"),CONCATENATE("R",'Mapa final'!$A$221),"")</f>
        <v/>
      </c>
      <c r="Y36" s="314"/>
      <c r="Z36" s="314" t="str">
        <f>IF(AND('Mapa final'!$H$227="Baja",'Mapa final'!$L$227="Moderado"),CONCATENATE("R",'Mapa final'!$A$227),"")</f>
        <v/>
      </c>
      <c r="AA36" s="315"/>
      <c r="AB36" s="297" t="e">
        <f>IF(AND('Mapa final'!#REF!="Baja",'Mapa final'!#REF!="Mayor"),CONCATENATE("R",'Mapa final'!#REF!),"")</f>
        <v>#REF!</v>
      </c>
      <c r="AC36" s="293"/>
      <c r="AD36" s="293" t="str">
        <f>IF(AND('Mapa final'!$H$221="Baja",'Mapa final'!$L$221="Mayor"),CONCATENATE("R",'Mapa final'!$A$221),"")</f>
        <v/>
      </c>
      <c r="AE36" s="293"/>
      <c r="AF36" s="293" t="str">
        <f>IF(AND('Mapa final'!$H$227="Baja",'Mapa final'!$L$227="Mayor"),CONCATENATE("R",'Mapa final'!$A$227),"")</f>
        <v/>
      </c>
      <c r="AG36" s="294"/>
      <c r="AH36" s="304" t="e">
        <f>IF(AND('Mapa final'!#REF!="Baja",'Mapa final'!#REF!="Catastrófico"),CONCATENATE("R",'Mapa final'!#REF!),"")</f>
        <v>#REF!</v>
      </c>
      <c r="AI36" s="305"/>
      <c r="AJ36" s="305" t="str">
        <f>IF(AND('Mapa final'!$H$221="Baja",'Mapa final'!$L$221="Catastrófico"),CONCATENATE("R",'Mapa final'!$A$221),"")</f>
        <v/>
      </c>
      <c r="AK36" s="305"/>
      <c r="AL36" s="305" t="str">
        <f>IF(AND('Mapa final'!$H$227="Baja",'Mapa final'!$L$227="Catastrófico"),CONCATENATE("R",'Mapa final'!$A$227),"")</f>
        <v/>
      </c>
      <c r="AM36" s="306"/>
      <c r="AN36" s="83"/>
      <c r="AO36" s="278"/>
      <c r="AP36" s="279"/>
      <c r="AQ36" s="279"/>
      <c r="AR36" s="279"/>
      <c r="AS36" s="279"/>
      <c r="AT36" s="28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6" thickBot="1" x14ac:dyDescent="0.25">
      <c r="A37" s="83"/>
      <c r="B37" s="246"/>
      <c r="C37" s="246"/>
      <c r="D37" s="247"/>
      <c r="E37" s="290"/>
      <c r="F37" s="291"/>
      <c r="G37" s="291"/>
      <c r="H37" s="291"/>
      <c r="I37" s="291"/>
      <c r="J37" s="325"/>
      <c r="K37" s="326"/>
      <c r="L37" s="326"/>
      <c r="M37" s="326"/>
      <c r="N37" s="326"/>
      <c r="O37" s="327"/>
      <c r="P37" s="317"/>
      <c r="Q37" s="317"/>
      <c r="R37" s="317"/>
      <c r="S37" s="317"/>
      <c r="T37" s="317"/>
      <c r="U37" s="318"/>
      <c r="V37" s="316"/>
      <c r="W37" s="317"/>
      <c r="X37" s="317"/>
      <c r="Y37" s="317"/>
      <c r="Z37" s="317"/>
      <c r="AA37" s="318"/>
      <c r="AB37" s="301"/>
      <c r="AC37" s="302"/>
      <c r="AD37" s="302"/>
      <c r="AE37" s="302"/>
      <c r="AF37" s="302"/>
      <c r="AG37" s="303"/>
      <c r="AH37" s="307"/>
      <c r="AI37" s="308"/>
      <c r="AJ37" s="308"/>
      <c r="AK37" s="308"/>
      <c r="AL37" s="308"/>
      <c r="AM37" s="309"/>
      <c r="AN37" s="83"/>
      <c r="AO37" s="281"/>
      <c r="AP37" s="282"/>
      <c r="AQ37" s="282"/>
      <c r="AR37" s="282"/>
      <c r="AS37" s="282"/>
      <c r="AT37" s="2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
      <c r="A38" s="83"/>
      <c r="B38" s="246"/>
      <c r="C38" s="246"/>
      <c r="D38" s="247"/>
      <c r="E38" s="284" t="s">
        <v>111</v>
      </c>
      <c r="F38" s="285"/>
      <c r="G38" s="285"/>
      <c r="H38" s="285"/>
      <c r="I38" s="286"/>
      <c r="J38" s="328" t="str">
        <f>IF(AND('Mapa final'!$H$10="Muy Baja",'Mapa final'!$L$10="Leve"),CONCATENATE("R",'Mapa final'!$A$10),"")</f>
        <v/>
      </c>
      <c r="K38" s="329"/>
      <c r="L38" s="329" t="str">
        <f>IF(AND('Mapa final'!$H$16="Muy Baja",'Mapa final'!$L$16="Leve"),CONCATENATE("R",'Mapa final'!$A$16),"")</f>
        <v/>
      </c>
      <c r="M38" s="329"/>
      <c r="N38" s="329" t="str">
        <f>IF(AND('Mapa final'!$H$22="Muy Baja",'Mapa final'!$L$22="Leve"),CONCATENATE("R",'Mapa final'!$A$22),"")</f>
        <v/>
      </c>
      <c r="O38" s="330"/>
      <c r="P38" s="328" t="str">
        <f>IF(AND('Mapa final'!$H$10="Muy Baja",'Mapa final'!$L$10="Menor"),CONCATENATE("R",'Mapa final'!$A$10),"")</f>
        <v/>
      </c>
      <c r="Q38" s="329"/>
      <c r="R38" s="329" t="str">
        <f>IF(AND('Mapa final'!$H$16="Muy Baja",'Mapa final'!$L$16="Menor"),CONCATENATE("R",'Mapa final'!$A$16),"")</f>
        <v/>
      </c>
      <c r="S38" s="329"/>
      <c r="T38" s="329" t="str">
        <f>IF(AND('Mapa final'!$H$22="Muy Baja",'Mapa final'!$L$22="Menor"),CONCATENATE("R",'Mapa final'!$A$22),"")</f>
        <v/>
      </c>
      <c r="U38" s="330"/>
      <c r="V38" s="319" t="str">
        <f>IF(AND('Mapa final'!$H$10="Muy Baja",'Mapa final'!$L$10="Moderado"),CONCATENATE("R",'Mapa final'!$A$10),"")</f>
        <v/>
      </c>
      <c r="W38" s="320"/>
      <c r="X38" s="320" t="str">
        <f>IF(AND('Mapa final'!$H$16="Muy Baja",'Mapa final'!$L$16="Moderado"),CONCATENATE("R",'Mapa final'!$A$16),"")</f>
        <v/>
      </c>
      <c r="Y38" s="320"/>
      <c r="Z38" s="320" t="str">
        <f>IF(AND('Mapa final'!$H$22="Muy Baja",'Mapa final'!$L$22="Moderado"),CONCATENATE("R",'Mapa final'!$A$22),"")</f>
        <v/>
      </c>
      <c r="AA38" s="321"/>
      <c r="AB38" s="295" t="str">
        <f>IF(AND('Mapa final'!$H$10="Muy Baja",'Mapa final'!$L$10="Mayor"),CONCATENATE("R",'Mapa final'!$A$10),"")</f>
        <v/>
      </c>
      <c r="AC38" s="296"/>
      <c r="AD38" s="296" t="str">
        <f>IF(AND('Mapa final'!$H$16="Muy Baja",'Mapa final'!$L$16="Mayor"),CONCATENATE("R",'Mapa final'!$A$16),"")</f>
        <v/>
      </c>
      <c r="AE38" s="296"/>
      <c r="AF38" s="296" t="str">
        <f>IF(AND('Mapa final'!$H$22="Muy Baja",'Mapa final'!$L$22="Mayor"),CONCATENATE("R",'Mapa final'!$A$22),"")</f>
        <v/>
      </c>
      <c r="AG38" s="298"/>
      <c r="AH38" s="310" t="str">
        <f>IF(AND('Mapa final'!$H$10="Muy Baja",'Mapa final'!$L$10="Catastrófico"),CONCATENATE("R",'Mapa final'!$A$10),"")</f>
        <v/>
      </c>
      <c r="AI38" s="311"/>
      <c r="AJ38" s="311" t="str">
        <f>IF(AND('Mapa final'!$H$16="Muy Baja",'Mapa final'!$L$16="Catastrófico"),CONCATENATE("R",'Mapa final'!$A$16),"")</f>
        <v/>
      </c>
      <c r="AK38" s="311"/>
      <c r="AL38" s="311" t="str">
        <f>IF(AND('Mapa final'!$H$22="Muy Baja",'Mapa final'!$L$22="Catastrófico"),CONCATENATE("R",'Mapa final'!$A$22),"")</f>
        <v>R3</v>
      </c>
      <c r="AM38" s="31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
      <c r="A39" s="83"/>
      <c r="B39" s="246"/>
      <c r="C39" s="246"/>
      <c r="D39" s="247"/>
      <c r="E39" s="287"/>
      <c r="F39" s="288"/>
      <c r="G39" s="288"/>
      <c r="H39" s="288"/>
      <c r="I39" s="289"/>
      <c r="J39" s="324"/>
      <c r="K39" s="322"/>
      <c r="L39" s="322"/>
      <c r="M39" s="322"/>
      <c r="N39" s="322"/>
      <c r="O39" s="323"/>
      <c r="P39" s="324"/>
      <c r="Q39" s="322"/>
      <c r="R39" s="322"/>
      <c r="S39" s="322"/>
      <c r="T39" s="322"/>
      <c r="U39" s="323"/>
      <c r="V39" s="313"/>
      <c r="W39" s="314"/>
      <c r="X39" s="314"/>
      <c r="Y39" s="314"/>
      <c r="Z39" s="314"/>
      <c r="AA39" s="315"/>
      <c r="AB39" s="297"/>
      <c r="AC39" s="293"/>
      <c r="AD39" s="293"/>
      <c r="AE39" s="293"/>
      <c r="AF39" s="293"/>
      <c r="AG39" s="294"/>
      <c r="AH39" s="304"/>
      <c r="AI39" s="305"/>
      <c r="AJ39" s="305"/>
      <c r="AK39" s="305"/>
      <c r="AL39" s="305"/>
      <c r="AM39" s="30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
      <c r="A40" s="83"/>
      <c r="B40" s="246"/>
      <c r="C40" s="246"/>
      <c r="D40" s="247"/>
      <c r="E40" s="287"/>
      <c r="F40" s="288"/>
      <c r="G40" s="288"/>
      <c r="H40" s="288"/>
      <c r="I40" s="289"/>
      <c r="J40" s="324" t="str">
        <f>IF(AND('Mapa final'!$H$28="Muy Baja",'Mapa final'!$L$28="Leve"),CONCATENATE("R",'Mapa final'!$A$28),"")</f>
        <v>R4</v>
      </c>
      <c r="K40" s="322"/>
      <c r="L40" s="322" t="str">
        <f>IF(AND('Mapa final'!$H$34="Muy Baja",'Mapa final'!$L$34="Leve"),CONCATENATE("R",'Mapa final'!$A$34),"")</f>
        <v/>
      </c>
      <c r="M40" s="322"/>
      <c r="N40" s="322" t="str">
        <f>IF(AND('Mapa final'!$H$40="Muy Baja",'Mapa final'!$L$40="Leve"),CONCATENATE("R",'Mapa final'!$A$40),"")</f>
        <v/>
      </c>
      <c r="O40" s="323"/>
      <c r="P40" s="324" t="str">
        <f>IF(AND('Mapa final'!$H$28="Muy Baja",'Mapa final'!$L$28="Menor"),CONCATENATE("R",'Mapa final'!$A$28),"")</f>
        <v/>
      </c>
      <c r="Q40" s="322"/>
      <c r="R40" s="322" t="str">
        <f>IF(AND('Mapa final'!$H$34="Muy Baja",'Mapa final'!$L$34="Menor"),CONCATENATE("R",'Mapa final'!$A$34),"")</f>
        <v/>
      </c>
      <c r="S40" s="322"/>
      <c r="T40" s="322" t="str">
        <f>IF(AND('Mapa final'!$H$40="Muy Baja",'Mapa final'!$L$40="Menor"),CONCATENATE("R",'Mapa final'!$A$40),"")</f>
        <v/>
      </c>
      <c r="U40" s="323"/>
      <c r="V40" s="313" t="str">
        <f>IF(AND('Mapa final'!$H$28="Muy Baja",'Mapa final'!$L$28="Moderado"),CONCATENATE("R",'Mapa final'!$A$28),"")</f>
        <v/>
      </c>
      <c r="W40" s="314"/>
      <c r="X40" s="314" t="str">
        <f>IF(AND('Mapa final'!$H$34="Muy Baja",'Mapa final'!$L$34="Moderado"),CONCATENATE("R",'Mapa final'!$A$34),"")</f>
        <v/>
      </c>
      <c r="Y40" s="314"/>
      <c r="Z40" s="314" t="str">
        <f>IF(AND('Mapa final'!$H$40="Muy Baja",'Mapa final'!$L$40="Moderado"),CONCATENATE("R",'Mapa final'!$A$40),"")</f>
        <v/>
      </c>
      <c r="AA40" s="315"/>
      <c r="AB40" s="297" t="str">
        <f>IF(AND('Mapa final'!$H$28="Muy Baja",'Mapa final'!$L$28="Mayor"),CONCATENATE("R",'Mapa final'!$A$28),"")</f>
        <v/>
      </c>
      <c r="AC40" s="293"/>
      <c r="AD40" s="293" t="str">
        <f>IF(AND('Mapa final'!$H$34="Muy Baja",'Mapa final'!$L$34="Mayor"),CONCATENATE("R",'Mapa final'!$A$34),"")</f>
        <v/>
      </c>
      <c r="AE40" s="293"/>
      <c r="AF40" s="293" t="str">
        <f>IF(AND('Mapa final'!$H$40="Muy Baja",'Mapa final'!$L$40="Mayor"),CONCATENATE("R",'Mapa final'!$A$40),"")</f>
        <v/>
      </c>
      <c r="AG40" s="294"/>
      <c r="AH40" s="304" t="str">
        <f>IF(AND('Mapa final'!$H$28="Muy Baja",'Mapa final'!$L$28="Catastrófico"),CONCATENATE("R",'Mapa final'!$A$28),"")</f>
        <v/>
      </c>
      <c r="AI40" s="305"/>
      <c r="AJ40" s="305" t="str">
        <f>IF(AND('Mapa final'!$H$34="Muy Baja",'Mapa final'!$L$34="Catastrófico"),CONCATENATE("R",'Mapa final'!$A$34),"")</f>
        <v/>
      </c>
      <c r="AK40" s="305"/>
      <c r="AL40" s="305" t="str">
        <f>IF(AND('Mapa final'!$H$40="Muy Baja",'Mapa final'!$L$40="Catastrófico"),CONCATENATE("R",'Mapa final'!$A$40),"")</f>
        <v/>
      </c>
      <c r="AM40" s="30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
      <c r="A41" s="83"/>
      <c r="B41" s="246"/>
      <c r="C41" s="246"/>
      <c r="D41" s="247"/>
      <c r="E41" s="287"/>
      <c r="F41" s="288"/>
      <c r="G41" s="288"/>
      <c r="H41" s="288"/>
      <c r="I41" s="289"/>
      <c r="J41" s="324"/>
      <c r="K41" s="322"/>
      <c r="L41" s="322"/>
      <c r="M41" s="322"/>
      <c r="N41" s="322"/>
      <c r="O41" s="323"/>
      <c r="P41" s="324"/>
      <c r="Q41" s="322"/>
      <c r="R41" s="322"/>
      <c r="S41" s="322"/>
      <c r="T41" s="322"/>
      <c r="U41" s="323"/>
      <c r="V41" s="313"/>
      <c r="W41" s="314"/>
      <c r="X41" s="314"/>
      <c r="Y41" s="314"/>
      <c r="Z41" s="314"/>
      <c r="AA41" s="315"/>
      <c r="AB41" s="297"/>
      <c r="AC41" s="293"/>
      <c r="AD41" s="293"/>
      <c r="AE41" s="293"/>
      <c r="AF41" s="293"/>
      <c r="AG41" s="294"/>
      <c r="AH41" s="304"/>
      <c r="AI41" s="305"/>
      <c r="AJ41" s="305"/>
      <c r="AK41" s="305"/>
      <c r="AL41" s="305"/>
      <c r="AM41" s="30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
      <c r="A42" s="83"/>
      <c r="B42" s="246"/>
      <c r="C42" s="246"/>
      <c r="D42" s="247"/>
      <c r="E42" s="287"/>
      <c r="F42" s="288"/>
      <c r="G42" s="288"/>
      <c r="H42" s="288"/>
      <c r="I42" s="289"/>
      <c r="J42" s="324" t="str">
        <f>IF(AND('Mapa final'!$H$46="Muy Baja",'Mapa final'!$L$46="Leve"),CONCATENATE("R",'Mapa final'!$A$46),"")</f>
        <v/>
      </c>
      <c r="K42" s="322"/>
      <c r="L42" s="322" t="str">
        <f>IF(AND('Mapa final'!$H$58="Muy Baja",'Mapa final'!$L$58="Leve"),CONCATENATE("R",'Mapa final'!$A$58),"")</f>
        <v/>
      </c>
      <c r="M42" s="322"/>
      <c r="N42" s="322" t="str">
        <f>IF(AND('Mapa final'!$H$64="Muy Baja",'Mapa final'!$L$64="Leve"),CONCATENATE("R",'Mapa final'!$A$64),"")</f>
        <v/>
      </c>
      <c r="O42" s="323"/>
      <c r="P42" s="324" t="str">
        <f>IF(AND('Mapa final'!$H$46="Muy Baja",'Mapa final'!$L$46="Menor"),CONCATENATE("R",'Mapa final'!$A$46),"")</f>
        <v/>
      </c>
      <c r="Q42" s="322"/>
      <c r="R42" s="322" t="str">
        <f>IF(AND('Mapa final'!$H$58="Muy Baja",'Mapa final'!$L$58="Menor"),CONCATENATE("R",'Mapa final'!$A$58),"")</f>
        <v/>
      </c>
      <c r="S42" s="322"/>
      <c r="T42" s="322" t="str">
        <f>IF(AND('Mapa final'!$H$64="Muy Baja",'Mapa final'!$L$64="Menor"),CONCATENATE("R",'Mapa final'!$A$64),"")</f>
        <v/>
      </c>
      <c r="U42" s="323"/>
      <c r="V42" s="313" t="str">
        <f>IF(AND('Mapa final'!$H$46="Muy Baja",'Mapa final'!$L$46="Moderado"),CONCATENATE("R",'Mapa final'!$A$46),"")</f>
        <v/>
      </c>
      <c r="W42" s="314"/>
      <c r="X42" s="314" t="str">
        <f>IF(AND('Mapa final'!$H$58="Muy Baja",'Mapa final'!$L$58="Moderado"),CONCATENATE("R",'Mapa final'!$A$58),"")</f>
        <v/>
      </c>
      <c r="Y42" s="314"/>
      <c r="Z42" s="314" t="str">
        <f>IF(AND('Mapa final'!$H$64="Muy Baja",'Mapa final'!$L$64="Moderado"),CONCATENATE("R",'Mapa final'!$A$64),"")</f>
        <v/>
      </c>
      <c r="AA42" s="315"/>
      <c r="AB42" s="297" t="str">
        <f>IF(AND('Mapa final'!$H$46="Muy Baja",'Mapa final'!$L$46="Mayor"),CONCATENATE("R",'Mapa final'!$A$46),"")</f>
        <v/>
      </c>
      <c r="AC42" s="293"/>
      <c r="AD42" s="293" t="str">
        <f>IF(AND('Mapa final'!$H$58="Muy Baja",'Mapa final'!$L$58="Mayor"),CONCATENATE("R",'Mapa final'!$A$58),"")</f>
        <v/>
      </c>
      <c r="AE42" s="293"/>
      <c r="AF42" s="293" t="str">
        <f>IF(AND('Mapa final'!$H$64="Muy Baja",'Mapa final'!$L$64="Mayor"),CONCATENATE("R",'Mapa final'!$A$64),"")</f>
        <v/>
      </c>
      <c r="AG42" s="294"/>
      <c r="AH42" s="304" t="str">
        <f>IF(AND('Mapa final'!$H$46="Muy Baja",'Mapa final'!$L$46="Catastrófico"),CONCATENATE("R",'Mapa final'!$A$46),"")</f>
        <v/>
      </c>
      <c r="AI42" s="305"/>
      <c r="AJ42" s="305" t="str">
        <f>IF(AND('Mapa final'!$H$58="Muy Baja",'Mapa final'!$L$58="Catastrófico"),CONCATENATE("R",'Mapa final'!$A$58),"")</f>
        <v/>
      </c>
      <c r="AK42" s="305"/>
      <c r="AL42" s="305" t="str">
        <f>IF(AND('Mapa final'!$H$64="Muy Baja",'Mapa final'!$L$64="Catastrófico"),CONCATENATE("R",'Mapa final'!$A$64),"")</f>
        <v/>
      </c>
      <c r="AM42" s="30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
      <c r="A43" s="83"/>
      <c r="B43" s="246"/>
      <c r="C43" s="246"/>
      <c r="D43" s="247"/>
      <c r="E43" s="287"/>
      <c r="F43" s="288"/>
      <c r="G43" s="288"/>
      <c r="H43" s="288"/>
      <c r="I43" s="289"/>
      <c r="J43" s="324"/>
      <c r="K43" s="322"/>
      <c r="L43" s="322"/>
      <c r="M43" s="322"/>
      <c r="N43" s="322"/>
      <c r="O43" s="323"/>
      <c r="P43" s="324"/>
      <c r="Q43" s="322"/>
      <c r="R43" s="322"/>
      <c r="S43" s="322"/>
      <c r="T43" s="322"/>
      <c r="U43" s="323"/>
      <c r="V43" s="313"/>
      <c r="W43" s="314"/>
      <c r="X43" s="314"/>
      <c r="Y43" s="314"/>
      <c r="Z43" s="314"/>
      <c r="AA43" s="315"/>
      <c r="AB43" s="297"/>
      <c r="AC43" s="293"/>
      <c r="AD43" s="293"/>
      <c r="AE43" s="293"/>
      <c r="AF43" s="293"/>
      <c r="AG43" s="294"/>
      <c r="AH43" s="304"/>
      <c r="AI43" s="305"/>
      <c r="AJ43" s="305"/>
      <c r="AK43" s="305"/>
      <c r="AL43" s="305"/>
      <c r="AM43" s="30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
      <c r="A44" s="83"/>
      <c r="B44" s="246"/>
      <c r="C44" s="246"/>
      <c r="D44" s="247"/>
      <c r="E44" s="287"/>
      <c r="F44" s="288"/>
      <c r="G44" s="288"/>
      <c r="H44" s="288"/>
      <c r="I44" s="289"/>
      <c r="J44" s="324" t="e">
        <f>IF(AND('Mapa final'!#REF!="Muy Baja",'Mapa final'!#REF!="Leve"),CONCATENATE("R",'Mapa final'!#REF!),"")</f>
        <v>#REF!</v>
      </c>
      <c r="K44" s="322"/>
      <c r="L44" s="322" t="str">
        <f>IF(AND('Mapa final'!$H$221="Muy Baja",'Mapa final'!$L$221="Leve"),CONCATENATE("R",'Mapa final'!$A$221),"")</f>
        <v/>
      </c>
      <c r="M44" s="322"/>
      <c r="N44" s="322" t="str">
        <f>IF(AND('Mapa final'!$H$227="Muy Baja",'Mapa final'!$L$227="Leve"),CONCATENATE("R",'Mapa final'!$A$227),"")</f>
        <v/>
      </c>
      <c r="O44" s="323"/>
      <c r="P44" s="324" t="e">
        <f>IF(AND('Mapa final'!#REF!="Muy Baja",'Mapa final'!#REF!="Menor"),CONCATENATE("R",'Mapa final'!#REF!),"")</f>
        <v>#REF!</v>
      </c>
      <c r="Q44" s="322"/>
      <c r="R44" s="322" t="str">
        <f>IF(AND('Mapa final'!$H$221="Muy Baja",'Mapa final'!$L$221="Menor"),CONCATENATE("R",'Mapa final'!$A$221),"")</f>
        <v/>
      </c>
      <c r="S44" s="322"/>
      <c r="T44" s="322" t="str">
        <f>IF(AND('Mapa final'!$H$227="Muy Baja",'Mapa final'!$L$227="Menor"),CONCATENATE("R",'Mapa final'!$A$227),"")</f>
        <v/>
      </c>
      <c r="U44" s="323"/>
      <c r="V44" s="313" t="e">
        <f>IF(AND('Mapa final'!#REF!="Muy Baja",'Mapa final'!#REF!="Moderado"),CONCATENATE("R",'Mapa final'!#REF!),"")</f>
        <v>#REF!</v>
      </c>
      <c r="W44" s="314"/>
      <c r="X44" s="314" t="str">
        <f>IF(AND('Mapa final'!$H$221="Muy Baja",'Mapa final'!$L$221="Moderado"),CONCATENATE("R",'Mapa final'!$A$221),"")</f>
        <v/>
      </c>
      <c r="Y44" s="314"/>
      <c r="Z44" s="314" t="str">
        <f>IF(AND('Mapa final'!$H$227="Muy Baja",'Mapa final'!$L$227="Moderado"),CONCATENATE("R",'Mapa final'!$A$227),"")</f>
        <v/>
      </c>
      <c r="AA44" s="315"/>
      <c r="AB44" s="297" t="e">
        <f>IF(AND('Mapa final'!#REF!="Muy Baja",'Mapa final'!#REF!="Mayor"),CONCATENATE("R",'Mapa final'!#REF!),"")</f>
        <v>#REF!</v>
      </c>
      <c r="AC44" s="293"/>
      <c r="AD44" s="293" t="str">
        <f>IF(AND('Mapa final'!$H$221="Muy Baja",'Mapa final'!$L$221="Mayor"),CONCATENATE("R",'Mapa final'!$A$221),"")</f>
        <v/>
      </c>
      <c r="AE44" s="293"/>
      <c r="AF44" s="293" t="str">
        <f>IF(AND('Mapa final'!$H$227="Muy Baja",'Mapa final'!$L$227="Mayor"),CONCATENATE("R",'Mapa final'!$A$227),"")</f>
        <v/>
      </c>
      <c r="AG44" s="294"/>
      <c r="AH44" s="304" t="e">
        <f>IF(AND('Mapa final'!#REF!="Muy Baja",'Mapa final'!#REF!="Catastrófico"),CONCATENATE("R",'Mapa final'!#REF!),"")</f>
        <v>#REF!</v>
      </c>
      <c r="AI44" s="305"/>
      <c r="AJ44" s="305" t="str">
        <f>IF(AND('Mapa final'!$H$221="Muy Baja",'Mapa final'!$L$221="Catastrófico"),CONCATENATE("R",'Mapa final'!$A$221),"")</f>
        <v/>
      </c>
      <c r="AK44" s="305"/>
      <c r="AL44" s="305" t="str">
        <f>IF(AND('Mapa final'!$H$227="Muy Baja",'Mapa final'!$L$227="Catastrófico"),CONCATENATE("R",'Mapa final'!$A$227),"")</f>
        <v/>
      </c>
      <c r="AM44" s="30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6" thickBot="1" x14ac:dyDescent="0.25">
      <c r="A45" s="83"/>
      <c r="B45" s="246"/>
      <c r="C45" s="246"/>
      <c r="D45" s="247"/>
      <c r="E45" s="290"/>
      <c r="F45" s="291"/>
      <c r="G45" s="291"/>
      <c r="H45" s="291"/>
      <c r="I45" s="292"/>
      <c r="J45" s="325"/>
      <c r="K45" s="326"/>
      <c r="L45" s="326"/>
      <c r="M45" s="326"/>
      <c r="N45" s="326"/>
      <c r="O45" s="327"/>
      <c r="P45" s="325"/>
      <c r="Q45" s="326"/>
      <c r="R45" s="326"/>
      <c r="S45" s="326"/>
      <c r="T45" s="326"/>
      <c r="U45" s="327"/>
      <c r="V45" s="316"/>
      <c r="W45" s="317"/>
      <c r="X45" s="317"/>
      <c r="Y45" s="317"/>
      <c r="Z45" s="317"/>
      <c r="AA45" s="318"/>
      <c r="AB45" s="301"/>
      <c r="AC45" s="302"/>
      <c r="AD45" s="302"/>
      <c r="AE45" s="302"/>
      <c r="AF45" s="302"/>
      <c r="AG45" s="303"/>
      <c r="AH45" s="307"/>
      <c r="AI45" s="308"/>
      <c r="AJ45" s="308"/>
      <c r="AK45" s="308"/>
      <c r="AL45" s="308"/>
      <c r="AM45" s="30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
      <c r="A46" s="83"/>
      <c r="B46" s="83"/>
      <c r="C46" s="83"/>
      <c r="D46" s="83"/>
      <c r="E46" s="83"/>
      <c r="F46" s="83"/>
      <c r="G46" s="83"/>
      <c r="H46" s="83"/>
      <c r="I46" s="83"/>
      <c r="J46" s="284" t="s">
        <v>110</v>
      </c>
      <c r="K46" s="285"/>
      <c r="L46" s="285"/>
      <c r="M46" s="285"/>
      <c r="N46" s="285"/>
      <c r="O46" s="286"/>
      <c r="P46" s="284" t="s">
        <v>109</v>
      </c>
      <c r="Q46" s="285"/>
      <c r="R46" s="285"/>
      <c r="S46" s="285"/>
      <c r="T46" s="285"/>
      <c r="U46" s="286"/>
      <c r="V46" s="284" t="s">
        <v>108</v>
      </c>
      <c r="W46" s="285"/>
      <c r="X46" s="285"/>
      <c r="Y46" s="285"/>
      <c r="Z46" s="285"/>
      <c r="AA46" s="286"/>
      <c r="AB46" s="284" t="s">
        <v>107</v>
      </c>
      <c r="AC46" s="300"/>
      <c r="AD46" s="285"/>
      <c r="AE46" s="285"/>
      <c r="AF46" s="285"/>
      <c r="AG46" s="286"/>
      <c r="AH46" s="284" t="s">
        <v>106</v>
      </c>
      <c r="AI46" s="285"/>
      <c r="AJ46" s="285"/>
      <c r="AK46" s="285"/>
      <c r="AL46" s="285"/>
      <c r="AM46" s="28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
      <c r="A47" s="83"/>
      <c r="B47" s="83"/>
      <c r="C47" s="83"/>
      <c r="D47" s="83"/>
      <c r="E47" s="83"/>
      <c r="F47" s="83"/>
      <c r="G47" s="83"/>
      <c r="H47" s="83"/>
      <c r="I47" s="83"/>
      <c r="J47" s="287"/>
      <c r="K47" s="288"/>
      <c r="L47" s="288"/>
      <c r="M47" s="288"/>
      <c r="N47" s="288"/>
      <c r="O47" s="289"/>
      <c r="P47" s="287"/>
      <c r="Q47" s="288"/>
      <c r="R47" s="288"/>
      <c r="S47" s="288"/>
      <c r="T47" s="288"/>
      <c r="U47" s="289"/>
      <c r="V47" s="287"/>
      <c r="W47" s="288"/>
      <c r="X47" s="288"/>
      <c r="Y47" s="288"/>
      <c r="Z47" s="288"/>
      <c r="AA47" s="289"/>
      <c r="AB47" s="287"/>
      <c r="AC47" s="288"/>
      <c r="AD47" s="288"/>
      <c r="AE47" s="288"/>
      <c r="AF47" s="288"/>
      <c r="AG47" s="289"/>
      <c r="AH47" s="287"/>
      <c r="AI47" s="288"/>
      <c r="AJ47" s="288"/>
      <c r="AK47" s="288"/>
      <c r="AL47" s="288"/>
      <c r="AM47" s="28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
      <c r="A48" s="83"/>
      <c r="B48" s="83"/>
      <c r="C48" s="83"/>
      <c r="D48" s="83"/>
      <c r="E48" s="83"/>
      <c r="F48" s="83"/>
      <c r="G48" s="83"/>
      <c r="H48" s="83"/>
      <c r="I48" s="83"/>
      <c r="J48" s="287"/>
      <c r="K48" s="288"/>
      <c r="L48" s="288"/>
      <c r="M48" s="288"/>
      <c r="N48" s="288"/>
      <c r="O48" s="289"/>
      <c r="P48" s="287"/>
      <c r="Q48" s="288"/>
      <c r="R48" s="288"/>
      <c r="S48" s="288"/>
      <c r="T48" s="288"/>
      <c r="U48" s="289"/>
      <c r="V48" s="287"/>
      <c r="W48" s="288"/>
      <c r="X48" s="288"/>
      <c r="Y48" s="288"/>
      <c r="Z48" s="288"/>
      <c r="AA48" s="289"/>
      <c r="AB48" s="287"/>
      <c r="AC48" s="288"/>
      <c r="AD48" s="288"/>
      <c r="AE48" s="288"/>
      <c r="AF48" s="288"/>
      <c r="AG48" s="289"/>
      <c r="AH48" s="287"/>
      <c r="AI48" s="288"/>
      <c r="AJ48" s="288"/>
      <c r="AK48" s="288"/>
      <c r="AL48" s="288"/>
      <c r="AM48" s="28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
      <c r="A49" s="83"/>
      <c r="B49" s="83"/>
      <c r="C49" s="83"/>
      <c r="D49" s="83"/>
      <c r="E49" s="83"/>
      <c r="F49" s="83"/>
      <c r="G49" s="83"/>
      <c r="H49" s="83"/>
      <c r="I49" s="83"/>
      <c r="J49" s="287"/>
      <c r="K49" s="288"/>
      <c r="L49" s="288"/>
      <c r="M49" s="288"/>
      <c r="N49" s="288"/>
      <c r="O49" s="289"/>
      <c r="P49" s="287"/>
      <c r="Q49" s="288"/>
      <c r="R49" s="288"/>
      <c r="S49" s="288"/>
      <c r="T49" s="288"/>
      <c r="U49" s="289"/>
      <c r="V49" s="287"/>
      <c r="W49" s="288"/>
      <c r="X49" s="288"/>
      <c r="Y49" s="288"/>
      <c r="Z49" s="288"/>
      <c r="AA49" s="289"/>
      <c r="AB49" s="287"/>
      <c r="AC49" s="288"/>
      <c r="AD49" s="288"/>
      <c r="AE49" s="288"/>
      <c r="AF49" s="288"/>
      <c r="AG49" s="289"/>
      <c r="AH49" s="287"/>
      <c r="AI49" s="288"/>
      <c r="AJ49" s="288"/>
      <c r="AK49" s="288"/>
      <c r="AL49" s="288"/>
      <c r="AM49" s="28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
      <c r="A50" s="83"/>
      <c r="B50" s="83"/>
      <c r="C50" s="83"/>
      <c r="D50" s="83"/>
      <c r="E50" s="83"/>
      <c r="F50" s="83"/>
      <c r="G50" s="83"/>
      <c r="H50" s="83"/>
      <c r="I50" s="83"/>
      <c r="J50" s="287"/>
      <c r="K50" s="288"/>
      <c r="L50" s="288"/>
      <c r="M50" s="288"/>
      <c r="N50" s="288"/>
      <c r="O50" s="289"/>
      <c r="P50" s="287"/>
      <c r="Q50" s="288"/>
      <c r="R50" s="288"/>
      <c r="S50" s="288"/>
      <c r="T50" s="288"/>
      <c r="U50" s="289"/>
      <c r="V50" s="287"/>
      <c r="W50" s="288"/>
      <c r="X50" s="288"/>
      <c r="Y50" s="288"/>
      <c r="Z50" s="288"/>
      <c r="AA50" s="289"/>
      <c r="AB50" s="287"/>
      <c r="AC50" s="288"/>
      <c r="AD50" s="288"/>
      <c r="AE50" s="288"/>
      <c r="AF50" s="288"/>
      <c r="AG50" s="289"/>
      <c r="AH50" s="287"/>
      <c r="AI50" s="288"/>
      <c r="AJ50" s="288"/>
      <c r="AK50" s="288"/>
      <c r="AL50" s="288"/>
      <c r="AM50" s="28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6" thickBot="1" x14ac:dyDescent="0.25">
      <c r="A51" s="83"/>
      <c r="B51" s="83"/>
      <c r="C51" s="83"/>
      <c r="D51" s="83"/>
      <c r="E51" s="83"/>
      <c r="F51" s="83"/>
      <c r="G51" s="83"/>
      <c r="H51" s="83"/>
      <c r="I51" s="83"/>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
      <c r="B137" s="83"/>
      <c r="C137" s="83"/>
      <c r="D137" s="83"/>
      <c r="E137" s="83"/>
      <c r="F137" s="83"/>
      <c r="G137" s="83"/>
      <c r="H137" s="83"/>
      <c r="I137" s="83"/>
    </row>
    <row r="138" spans="2:63" x14ac:dyDescent="0.2">
      <c r="B138" s="83"/>
      <c r="C138" s="83"/>
      <c r="D138" s="83"/>
      <c r="E138" s="83"/>
      <c r="F138" s="83"/>
      <c r="G138" s="83"/>
      <c r="H138" s="83"/>
      <c r="I138" s="83"/>
    </row>
    <row r="139" spans="2:63" x14ac:dyDescent="0.2">
      <c r="B139" s="83"/>
      <c r="C139" s="83"/>
      <c r="D139" s="83"/>
      <c r="E139" s="83"/>
      <c r="F139" s="83"/>
      <c r="G139" s="83"/>
      <c r="H139" s="83"/>
      <c r="I139" s="83"/>
    </row>
    <row r="140" spans="2:63" x14ac:dyDescent="0.2">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election activeCell="AH48" sqref="AH48"/>
    </sheetView>
  </sheetViews>
  <sheetFormatPr baseColWidth="10" defaultRowHeight="15" x14ac:dyDescent="0.2"/>
  <cols>
    <col min="2" max="18" width="5.6640625" customWidth="1"/>
    <col min="19" max="19" width="8.5" customWidth="1"/>
    <col min="20" max="23" width="5.6640625" customWidth="1"/>
    <col min="24" max="24" width="8.5" customWidth="1"/>
    <col min="25" max="26" width="5.6640625" customWidth="1"/>
    <col min="27" max="27" width="10.6640625" customWidth="1"/>
    <col min="28" max="28" width="5.6640625" customWidth="1"/>
    <col min="29" max="29" width="7.5" customWidth="1"/>
    <col min="30" max="33" width="5.6640625" customWidth="1"/>
    <col min="34" max="34" width="8.5" customWidth="1"/>
    <col min="35" max="39" width="5.6640625" customWidth="1"/>
    <col min="41" max="46" width="5.6640625" customWidth="1"/>
  </cols>
  <sheetData>
    <row r="1" spans="1:9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
      <c r="A2" s="83"/>
      <c r="B2" s="357" t="s">
        <v>158</v>
      </c>
      <c r="C2" s="358"/>
      <c r="D2" s="358"/>
      <c r="E2" s="358"/>
      <c r="F2" s="358"/>
      <c r="G2" s="358"/>
      <c r="H2" s="358"/>
      <c r="I2" s="358"/>
      <c r="J2" s="299"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
      <c r="A3" s="83"/>
      <c r="B3" s="358"/>
      <c r="C3" s="358"/>
      <c r="D3" s="358"/>
      <c r="E3" s="358"/>
      <c r="F3" s="358"/>
      <c r="G3" s="358"/>
      <c r="H3" s="358"/>
      <c r="I3" s="358"/>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
      <c r="A4" s="83"/>
      <c r="B4" s="358"/>
      <c r="C4" s="358"/>
      <c r="D4" s="358"/>
      <c r="E4" s="358"/>
      <c r="F4" s="358"/>
      <c r="G4" s="358"/>
      <c r="H4" s="358"/>
      <c r="I4" s="358"/>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6" thickBot="1" x14ac:dyDescent="0.2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
      <c r="A6" s="83"/>
      <c r="B6" s="246" t="s">
        <v>3</v>
      </c>
      <c r="C6" s="246"/>
      <c r="D6" s="247"/>
      <c r="E6" s="341" t="s">
        <v>114</v>
      </c>
      <c r="F6" s="342"/>
      <c r="G6" s="342"/>
      <c r="H6" s="342"/>
      <c r="I6" s="359"/>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8" t="s">
        <v>77</v>
      </c>
      <c r="AP6" s="349"/>
      <c r="AQ6" s="349"/>
      <c r="AR6" s="349"/>
      <c r="AS6" s="349"/>
      <c r="AT6" s="3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
      <c r="A7" s="83"/>
      <c r="B7" s="246"/>
      <c r="C7" s="246"/>
      <c r="D7" s="247"/>
      <c r="E7" s="345"/>
      <c r="F7" s="344"/>
      <c r="G7" s="344"/>
      <c r="H7" s="344"/>
      <c r="I7" s="360"/>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51"/>
      <c r="AP7" s="352"/>
      <c r="AQ7" s="352"/>
      <c r="AR7" s="352"/>
      <c r="AS7" s="352"/>
      <c r="AT7" s="3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
      <c r="A8" s="83"/>
      <c r="B8" s="246"/>
      <c r="C8" s="246"/>
      <c r="D8" s="247"/>
      <c r="E8" s="345"/>
      <c r="F8" s="344"/>
      <c r="G8" s="344"/>
      <c r="H8" s="344"/>
      <c r="I8" s="36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51"/>
      <c r="AP8" s="352"/>
      <c r="AQ8" s="352"/>
      <c r="AR8" s="352"/>
      <c r="AS8" s="352"/>
      <c r="AT8" s="3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
      <c r="A9" s="83"/>
      <c r="B9" s="246"/>
      <c r="C9" s="246"/>
      <c r="D9" s="247"/>
      <c r="E9" s="345"/>
      <c r="F9" s="344"/>
      <c r="G9" s="344"/>
      <c r="H9" s="344"/>
      <c r="I9" s="36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51"/>
      <c r="AP9" s="352"/>
      <c r="AQ9" s="352"/>
      <c r="AR9" s="352"/>
      <c r="AS9" s="352"/>
      <c r="AT9" s="3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
      <c r="A10" s="83"/>
      <c r="B10" s="246"/>
      <c r="C10" s="246"/>
      <c r="D10" s="247"/>
      <c r="E10" s="345"/>
      <c r="F10" s="344"/>
      <c r="G10" s="344"/>
      <c r="H10" s="344"/>
      <c r="I10" s="36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51"/>
      <c r="AP10" s="352"/>
      <c r="AQ10" s="352"/>
      <c r="AR10" s="352"/>
      <c r="AS10" s="352"/>
      <c r="AT10" s="3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
      <c r="A11" s="83"/>
      <c r="B11" s="246"/>
      <c r="C11" s="246"/>
      <c r="D11" s="247"/>
      <c r="E11" s="345"/>
      <c r="F11" s="344"/>
      <c r="G11" s="344"/>
      <c r="H11" s="344"/>
      <c r="I11" s="36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51"/>
      <c r="AP11" s="352"/>
      <c r="AQ11" s="352"/>
      <c r="AR11" s="352"/>
      <c r="AS11" s="352"/>
      <c r="AT11" s="3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
      <c r="A12" s="83"/>
      <c r="B12" s="246"/>
      <c r="C12" s="246"/>
      <c r="D12" s="247"/>
      <c r="E12" s="345"/>
      <c r="F12" s="344"/>
      <c r="G12" s="344"/>
      <c r="H12" s="344"/>
      <c r="I12" s="36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51"/>
      <c r="AP12" s="352"/>
      <c r="AQ12" s="352"/>
      <c r="AR12" s="352"/>
      <c r="AS12" s="352"/>
      <c r="AT12" s="3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
      <c r="A13" s="83"/>
      <c r="B13" s="246"/>
      <c r="C13" s="246"/>
      <c r="D13" s="247"/>
      <c r="E13" s="345"/>
      <c r="F13" s="344"/>
      <c r="G13" s="344"/>
      <c r="H13" s="344"/>
      <c r="I13" s="360"/>
      <c r="J13" s="52" t="str">
        <f>IF(AND('Mapa final'!$Y$58="Muy Alta",'Mapa final'!$AA$58="Leve"),CONCATENATE("R8C",'Mapa final'!$O$58),"")</f>
        <v/>
      </c>
      <c r="K13" s="53" t="str">
        <f>IF(AND('Mapa final'!$Y$59="Muy Alta",'Mapa final'!$AA$59="Leve"),CONCATENATE("R8C",'Mapa final'!$O$59),"")</f>
        <v/>
      </c>
      <c r="L13" s="53" t="str">
        <f>IF(AND('Mapa final'!$Y$60="Muy Alta",'Mapa final'!$AA$60="Leve"),CONCATENATE("R8C",'Mapa final'!$O$60),"")</f>
        <v/>
      </c>
      <c r="M13" s="53" t="str">
        <f>IF(AND('Mapa final'!$Y$61="Muy Alta",'Mapa final'!$AA$61="Leve"),CONCATENATE("R8C",'Mapa final'!$O$61),"")</f>
        <v/>
      </c>
      <c r="N13" s="53" t="str">
        <f>IF(AND('Mapa final'!$Y$62="Muy Alta",'Mapa final'!$AA$62="Leve"),CONCATENATE("R8C",'Mapa final'!$O$62),"")</f>
        <v/>
      </c>
      <c r="O13" s="54" t="str">
        <f>IF(AND('Mapa final'!$Y$63="Muy Alta",'Mapa final'!$AA$63="Leve"),CONCATENATE("R8C",'Mapa final'!$O$63),"")</f>
        <v/>
      </c>
      <c r="P13" s="52" t="str">
        <f>IF(AND('Mapa final'!$Y$58="Muy Alta",'Mapa final'!$AA$58="Menor"),CONCATENATE("R8C",'Mapa final'!$O$58),"")</f>
        <v/>
      </c>
      <c r="Q13" s="53" t="str">
        <f>IF(AND('Mapa final'!$Y$59="Muy Alta",'Mapa final'!$AA$59="Menor"),CONCATENATE("R8C",'Mapa final'!$O$59),"")</f>
        <v/>
      </c>
      <c r="R13" s="53" t="str">
        <f>IF(AND('Mapa final'!$Y$60="Muy Alta",'Mapa final'!$AA$60="Menor"),CONCATENATE("R8C",'Mapa final'!$O$60),"")</f>
        <v/>
      </c>
      <c r="S13" s="53" t="str">
        <f>IF(AND('Mapa final'!$Y$61="Muy Alta",'Mapa final'!$AA$61="Menor"),CONCATENATE("R8C",'Mapa final'!$O$61),"")</f>
        <v/>
      </c>
      <c r="T13" s="53" t="str">
        <f>IF(AND('Mapa final'!$Y$62="Muy Alta",'Mapa final'!$AA$62="Menor"),CONCATENATE("R8C",'Mapa final'!$O$62),"")</f>
        <v/>
      </c>
      <c r="U13" s="54" t="str">
        <f>IF(AND('Mapa final'!$Y$63="Muy Alta",'Mapa final'!$AA$63="Menor"),CONCATENATE("R8C",'Mapa final'!$O$63),"")</f>
        <v/>
      </c>
      <c r="V13" s="52" t="str">
        <f>IF(AND('Mapa final'!$Y$58="Muy Alta",'Mapa final'!$AA$58="Moderado"),CONCATENATE("R8C",'Mapa final'!$O$58),"")</f>
        <v/>
      </c>
      <c r="W13" s="53" t="str">
        <f>IF(AND('Mapa final'!$Y$59="Muy Alta",'Mapa final'!$AA$59="Moderado"),CONCATENATE("R8C",'Mapa final'!$O$59),"")</f>
        <v/>
      </c>
      <c r="X13" s="53" t="str">
        <f>IF(AND('Mapa final'!$Y$60="Muy Alta",'Mapa final'!$AA$60="Moderado"),CONCATENATE("R8C",'Mapa final'!$O$60),"")</f>
        <v/>
      </c>
      <c r="Y13" s="53" t="str">
        <f>IF(AND('Mapa final'!$Y$61="Muy Alta",'Mapa final'!$AA$61="Moderado"),CONCATENATE("R8C",'Mapa final'!$O$61),"")</f>
        <v/>
      </c>
      <c r="Z13" s="53" t="str">
        <f>IF(AND('Mapa final'!$Y$62="Muy Alta",'Mapa final'!$AA$62="Moderado"),CONCATENATE("R8C",'Mapa final'!$O$62),"")</f>
        <v/>
      </c>
      <c r="AA13" s="54" t="str">
        <f>IF(AND('Mapa final'!$Y$63="Muy Alta",'Mapa final'!$AA$63="Moderado"),CONCATENATE("R8C",'Mapa final'!$O$63),"")</f>
        <v/>
      </c>
      <c r="AB13" s="52" t="str">
        <f>IF(AND('Mapa final'!$Y$58="Muy Alta",'Mapa final'!$AA$58="Mayor"),CONCATENATE("R8C",'Mapa final'!$O$58),"")</f>
        <v/>
      </c>
      <c r="AC13" s="53" t="str">
        <f>IF(AND('Mapa final'!$Y$59="Muy Alta",'Mapa final'!$AA$59="Mayor"),CONCATENATE("R8C",'Mapa final'!$O$59),"")</f>
        <v/>
      </c>
      <c r="AD13" s="53" t="str">
        <f>IF(AND('Mapa final'!$Y$60="Muy Alta",'Mapa final'!$AA$60="Mayor"),CONCATENATE("R8C",'Mapa final'!$O$60),"")</f>
        <v/>
      </c>
      <c r="AE13" s="53" t="str">
        <f>IF(AND('Mapa final'!$Y$61="Muy Alta",'Mapa final'!$AA$61="Mayor"),CONCATENATE("R8C",'Mapa final'!$O$61),"")</f>
        <v/>
      </c>
      <c r="AF13" s="53" t="str">
        <f>IF(AND('Mapa final'!$Y$62="Muy Alta",'Mapa final'!$AA$62="Mayor"),CONCATENATE("R8C",'Mapa final'!$O$62),"")</f>
        <v/>
      </c>
      <c r="AG13" s="54" t="str">
        <f>IF(AND('Mapa final'!$Y$63="Muy Alta",'Mapa final'!$AA$63="Mayor"),CONCATENATE("R8C",'Mapa final'!$O$63),"")</f>
        <v/>
      </c>
      <c r="AH13" s="55" t="str">
        <f>IF(AND('Mapa final'!$Y$58="Muy Alta",'Mapa final'!$AA$58="Catastrófico"),CONCATENATE("R8C",'Mapa final'!$O$58),"")</f>
        <v/>
      </c>
      <c r="AI13" s="56" t="str">
        <f>IF(AND('Mapa final'!$Y$59="Muy Alta",'Mapa final'!$AA$59="Catastrófico"),CONCATENATE("R8C",'Mapa final'!$O$59),"")</f>
        <v/>
      </c>
      <c r="AJ13" s="56" t="str">
        <f>IF(AND('Mapa final'!$Y$60="Muy Alta",'Mapa final'!$AA$60="Catastrófico"),CONCATENATE("R8C",'Mapa final'!$O$60),"")</f>
        <v/>
      </c>
      <c r="AK13" s="56" t="str">
        <f>IF(AND('Mapa final'!$Y$61="Muy Alta",'Mapa final'!$AA$61="Catastrófico"),CONCATENATE("R8C",'Mapa final'!$O$61),"")</f>
        <v/>
      </c>
      <c r="AL13" s="56" t="str">
        <f>IF(AND('Mapa final'!$Y$62="Muy Alta",'Mapa final'!$AA$62="Catastrófico"),CONCATENATE("R8C",'Mapa final'!$O$62),"")</f>
        <v/>
      </c>
      <c r="AM13" s="57" t="str">
        <f>IF(AND('Mapa final'!$Y$63="Muy Alta",'Mapa final'!$AA$63="Catastrófico"),CONCATENATE("R8C",'Mapa final'!$O$63),"")</f>
        <v/>
      </c>
      <c r="AN13" s="83"/>
      <c r="AO13" s="351"/>
      <c r="AP13" s="352"/>
      <c r="AQ13" s="352"/>
      <c r="AR13" s="352"/>
      <c r="AS13" s="352"/>
      <c r="AT13" s="3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
      <c r="A14" s="83"/>
      <c r="B14" s="246"/>
      <c r="C14" s="246"/>
      <c r="D14" s="247"/>
      <c r="E14" s="345"/>
      <c r="F14" s="344"/>
      <c r="G14" s="344"/>
      <c r="H14" s="344"/>
      <c r="I14" s="360"/>
      <c r="J14" s="52" t="str">
        <f>IF(AND('Mapa final'!$Y$64="Muy Alta",'Mapa final'!$AA$64="Leve"),CONCATENATE("R9C",'Mapa final'!$O$64),"")</f>
        <v/>
      </c>
      <c r="K14" s="53" t="str">
        <f>IF(AND('Mapa final'!$Y$65="Muy Alta",'Mapa final'!$AA$65="Leve"),CONCATENATE("R9C",'Mapa final'!$O$65),"")</f>
        <v/>
      </c>
      <c r="L14" s="53" t="str">
        <f>IF(AND('Mapa final'!$Y$66="Muy Alta",'Mapa final'!$AA$66="Leve"),CONCATENATE("R9C",'Mapa final'!$O$66),"")</f>
        <v/>
      </c>
      <c r="M14" s="53" t="str">
        <f>IF(AND('Mapa final'!$Y$67="Muy Alta",'Mapa final'!$AA$67="Leve"),CONCATENATE("R9C",'Mapa final'!$O$67),"")</f>
        <v/>
      </c>
      <c r="N14" s="53" t="str">
        <f>IF(AND('Mapa final'!$Y$68="Muy Alta",'Mapa final'!$AA$68="Leve"),CONCATENATE("R9C",'Mapa final'!$O$68),"")</f>
        <v/>
      </c>
      <c r="O14" s="54" t="str">
        <f>IF(AND('Mapa final'!$Y$69="Muy Alta",'Mapa final'!$AA$69="Leve"),CONCATENATE("R9C",'Mapa final'!$O$69),"")</f>
        <v/>
      </c>
      <c r="P14" s="52" t="str">
        <f>IF(AND('Mapa final'!$Y$64="Muy Alta",'Mapa final'!$AA$64="Menor"),CONCATENATE("R9C",'Mapa final'!$O$64),"")</f>
        <v/>
      </c>
      <c r="Q14" s="53" t="str">
        <f>IF(AND('Mapa final'!$Y$65="Muy Alta",'Mapa final'!$AA$65="Menor"),CONCATENATE("R9C",'Mapa final'!$O$65),"")</f>
        <v/>
      </c>
      <c r="R14" s="53" t="str">
        <f>IF(AND('Mapa final'!$Y$66="Muy Alta",'Mapa final'!$AA$66="Menor"),CONCATENATE("R9C",'Mapa final'!$O$66),"")</f>
        <v/>
      </c>
      <c r="S14" s="53" t="str">
        <f>IF(AND('Mapa final'!$Y$67="Muy Alta",'Mapa final'!$AA$67="Menor"),CONCATENATE("R9C",'Mapa final'!$O$67),"")</f>
        <v/>
      </c>
      <c r="T14" s="53" t="str">
        <f>IF(AND('Mapa final'!$Y$68="Muy Alta",'Mapa final'!$AA$68="Menor"),CONCATENATE("R9C",'Mapa final'!$O$68),"")</f>
        <v/>
      </c>
      <c r="U14" s="54" t="str">
        <f>IF(AND('Mapa final'!$Y$69="Muy Alta",'Mapa final'!$AA$69="Menor"),CONCATENATE("R9C",'Mapa final'!$O$69),"")</f>
        <v/>
      </c>
      <c r="V14" s="52" t="str">
        <f>IF(AND('Mapa final'!$Y$64="Muy Alta",'Mapa final'!$AA$64="Moderado"),CONCATENATE("R9C",'Mapa final'!$O$64),"")</f>
        <v/>
      </c>
      <c r="W14" s="53" t="str">
        <f>IF(AND('Mapa final'!$Y$65="Muy Alta",'Mapa final'!$AA$65="Moderado"),CONCATENATE("R9C",'Mapa final'!$O$65),"")</f>
        <v/>
      </c>
      <c r="X14" s="53" t="str">
        <f>IF(AND('Mapa final'!$Y$66="Muy Alta",'Mapa final'!$AA$66="Moderado"),CONCATENATE("R9C",'Mapa final'!$O$66),"")</f>
        <v/>
      </c>
      <c r="Y14" s="53" t="str">
        <f>IF(AND('Mapa final'!$Y$67="Muy Alta",'Mapa final'!$AA$67="Moderado"),CONCATENATE("R9C",'Mapa final'!$O$67),"")</f>
        <v/>
      </c>
      <c r="Z14" s="53" t="str">
        <f>IF(AND('Mapa final'!$Y$68="Muy Alta",'Mapa final'!$AA$68="Moderado"),CONCATENATE("R9C",'Mapa final'!$O$68),"")</f>
        <v/>
      </c>
      <c r="AA14" s="54" t="str">
        <f>IF(AND('Mapa final'!$Y$69="Muy Alta",'Mapa final'!$AA$69="Moderado"),CONCATENATE("R9C",'Mapa final'!$O$69),"")</f>
        <v/>
      </c>
      <c r="AB14" s="52" t="str">
        <f>IF(AND('Mapa final'!$Y$64="Muy Alta",'Mapa final'!$AA$64="Mayor"),CONCATENATE("R9C",'Mapa final'!$O$64),"")</f>
        <v/>
      </c>
      <c r="AC14" s="53" t="str">
        <f>IF(AND('Mapa final'!$Y$65="Muy Alta",'Mapa final'!$AA$65="Mayor"),CONCATENATE("R9C",'Mapa final'!$O$65),"")</f>
        <v/>
      </c>
      <c r="AD14" s="53" t="str">
        <f>IF(AND('Mapa final'!$Y$66="Muy Alta",'Mapa final'!$AA$66="Mayor"),CONCATENATE("R9C",'Mapa final'!$O$66),"")</f>
        <v/>
      </c>
      <c r="AE14" s="53" t="str">
        <f>IF(AND('Mapa final'!$Y$67="Muy Alta",'Mapa final'!$AA$67="Mayor"),CONCATENATE("R9C",'Mapa final'!$O$67),"")</f>
        <v/>
      </c>
      <c r="AF14" s="53" t="str">
        <f>IF(AND('Mapa final'!$Y$68="Muy Alta",'Mapa final'!$AA$68="Mayor"),CONCATENATE("R9C",'Mapa final'!$O$68),"")</f>
        <v/>
      </c>
      <c r="AG14" s="54" t="str">
        <f>IF(AND('Mapa final'!$Y$69="Muy Alta",'Mapa final'!$AA$69="Mayor"),CONCATENATE("R9C",'Mapa final'!$O$69),"")</f>
        <v/>
      </c>
      <c r="AH14" s="55" t="str">
        <f>IF(AND('Mapa final'!$Y$64="Muy Alta",'Mapa final'!$AA$64="Catastrófico"),CONCATENATE("R9C",'Mapa final'!$O$64),"")</f>
        <v/>
      </c>
      <c r="AI14" s="56" t="str">
        <f>IF(AND('Mapa final'!$Y$65="Muy Alta",'Mapa final'!$AA$65="Catastrófico"),CONCATENATE("R9C",'Mapa final'!$O$65),"")</f>
        <v/>
      </c>
      <c r="AJ14" s="56" t="str">
        <f>IF(AND('Mapa final'!$Y$66="Muy Alta",'Mapa final'!$AA$66="Catastrófico"),CONCATENATE("R9C",'Mapa final'!$O$66),"")</f>
        <v/>
      </c>
      <c r="AK14" s="56" t="str">
        <f>IF(AND('Mapa final'!$Y$67="Muy Alta",'Mapa final'!$AA$67="Catastrófico"),CONCATENATE("R9C",'Mapa final'!$O$67),"")</f>
        <v/>
      </c>
      <c r="AL14" s="56" t="str">
        <f>IF(AND('Mapa final'!$Y$68="Muy Alta",'Mapa final'!$AA$68="Catastrófico"),CONCATENATE("R9C",'Mapa final'!$O$68),"")</f>
        <v/>
      </c>
      <c r="AM14" s="57" t="str">
        <f>IF(AND('Mapa final'!$Y$69="Muy Alta",'Mapa final'!$AA$69="Catastrófico"),CONCATENATE("R9C",'Mapa final'!$O$69),"")</f>
        <v/>
      </c>
      <c r="AN14" s="83"/>
      <c r="AO14" s="351"/>
      <c r="AP14" s="352"/>
      <c r="AQ14" s="352"/>
      <c r="AR14" s="352"/>
      <c r="AS14" s="352"/>
      <c r="AT14" s="3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25">
      <c r="A15" s="83"/>
      <c r="B15" s="246"/>
      <c r="C15" s="246"/>
      <c r="D15" s="247"/>
      <c r="E15" s="346"/>
      <c r="F15" s="347"/>
      <c r="G15" s="347"/>
      <c r="H15" s="347"/>
      <c r="I15" s="361"/>
      <c r="J15" s="58" t="e">
        <f>IF(AND('Mapa final'!#REF!="Muy Alta",'Mapa final'!#REF!="Leve"),CONCATENATE("R10C",'Mapa final'!#REF!),"")</f>
        <v>#REF!</v>
      </c>
      <c r="K15" s="59" t="e">
        <f>IF(AND('Mapa final'!#REF!="Muy Alta",'Mapa final'!#REF!="Leve"),CONCATENATE("R10C",'Mapa final'!#REF!),"")</f>
        <v>#REF!</v>
      </c>
      <c r="L15" s="59" t="e">
        <f>IF(AND('Mapa final'!#REF!="Muy Alta",'Mapa final'!#REF!="Leve"),CONCATENATE("R10C",'Mapa final'!#REF!),"")</f>
        <v>#REF!</v>
      </c>
      <c r="M15" s="59" t="e">
        <f>IF(AND('Mapa final'!#REF!="Muy Alta",'Mapa final'!#REF!="Leve"),CONCATENATE("R10C",'Mapa final'!#REF!),"")</f>
        <v>#REF!</v>
      </c>
      <c r="N15" s="59" t="e">
        <f>IF(AND('Mapa final'!#REF!="Muy Alta",'Mapa final'!#REF!="Leve"),CONCATENATE("R10C",'Mapa final'!#REF!),"")</f>
        <v>#REF!</v>
      </c>
      <c r="O15" s="60" t="e">
        <f>IF(AND('Mapa final'!#REF!="Muy Alta",'Mapa final'!#REF!="Leve"),CONCATENATE("R10C",'Mapa final'!#REF!),"")</f>
        <v>#REF!</v>
      </c>
      <c r="P15" s="52" t="e">
        <f>IF(AND('Mapa final'!#REF!="Muy Alta",'Mapa final'!#REF!="Menor"),CONCATENATE("R10C",'Mapa final'!#REF!),"")</f>
        <v>#REF!</v>
      </c>
      <c r="Q15" s="53" t="e">
        <f>IF(AND('Mapa final'!#REF!="Muy Alta",'Mapa final'!#REF!="Menor"),CONCATENATE("R10C",'Mapa final'!#REF!),"")</f>
        <v>#REF!</v>
      </c>
      <c r="R15" s="53" t="e">
        <f>IF(AND('Mapa final'!#REF!="Muy Alta",'Mapa final'!#REF!="Menor"),CONCATENATE("R10C",'Mapa final'!#REF!),"")</f>
        <v>#REF!</v>
      </c>
      <c r="S15" s="53" t="e">
        <f>IF(AND('Mapa final'!#REF!="Muy Alta",'Mapa final'!#REF!="Menor"),CONCATENATE("R10C",'Mapa final'!#REF!),"")</f>
        <v>#REF!</v>
      </c>
      <c r="T15" s="53" t="e">
        <f>IF(AND('Mapa final'!#REF!="Muy Alta",'Mapa final'!#REF!="Menor"),CONCATENATE("R10C",'Mapa final'!#REF!),"")</f>
        <v>#REF!</v>
      </c>
      <c r="U15" s="54" t="e">
        <f>IF(AND('Mapa final'!#REF!="Muy Alta",'Mapa final'!#REF!="Menor"),CONCATENATE("R10C",'Mapa final'!#REF!),"")</f>
        <v>#REF!</v>
      </c>
      <c r="V15" s="58" t="e">
        <f>IF(AND('Mapa final'!#REF!="Muy Alta",'Mapa final'!#REF!="Moderado"),CONCATENATE("R10C",'Mapa final'!#REF!),"")</f>
        <v>#REF!</v>
      </c>
      <c r="W15" s="59" t="e">
        <f>IF(AND('Mapa final'!#REF!="Muy Alta",'Mapa final'!#REF!="Moderado"),CONCATENATE("R10C",'Mapa final'!#REF!),"")</f>
        <v>#REF!</v>
      </c>
      <c r="X15" s="59" t="e">
        <f>IF(AND('Mapa final'!#REF!="Muy Alta",'Mapa final'!#REF!="Moderado"),CONCATENATE("R10C",'Mapa final'!#REF!),"")</f>
        <v>#REF!</v>
      </c>
      <c r="Y15" s="59" t="e">
        <f>IF(AND('Mapa final'!#REF!="Muy Alta",'Mapa final'!#REF!="Moderado"),CONCATENATE("R10C",'Mapa final'!#REF!),"")</f>
        <v>#REF!</v>
      </c>
      <c r="Z15" s="59" t="e">
        <f>IF(AND('Mapa final'!#REF!="Muy Alta",'Mapa final'!#REF!="Moderado"),CONCATENATE("R10C",'Mapa final'!#REF!),"")</f>
        <v>#REF!</v>
      </c>
      <c r="AA15" s="60" t="e">
        <f>IF(AND('Mapa final'!#REF!="Muy Alta",'Mapa final'!#REF!="Moderado"),CONCATENATE("R10C",'Mapa final'!#REF!),"")</f>
        <v>#REF!</v>
      </c>
      <c r="AB15" s="52" t="e">
        <f>IF(AND('Mapa final'!#REF!="Muy Alta",'Mapa final'!#REF!="Mayor"),CONCATENATE("R10C",'Mapa final'!#REF!),"")</f>
        <v>#REF!</v>
      </c>
      <c r="AC15" s="53" t="e">
        <f>IF(AND('Mapa final'!#REF!="Muy Alta",'Mapa final'!#REF!="Mayor"),CONCATENATE("R10C",'Mapa final'!#REF!),"")</f>
        <v>#REF!</v>
      </c>
      <c r="AD15" s="53" t="e">
        <f>IF(AND('Mapa final'!#REF!="Muy Alta",'Mapa final'!#REF!="Mayor"),CONCATENATE("R10C",'Mapa final'!#REF!),"")</f>
        <v>#REF!</v>
      </c>
      <c r="AE15" s="53" t="e">
        <f>IF(AND('Mapa final'!#REF!="Muy Alta",'Mapa final'!#REF!="Mayor"),CONCATENATE("R10C",'Mapa final'!#REF!),"")</f>
        <v>#REF!</v>
      </c>
      <c r="AF15" s="53" t="e">
        <f>IF(AND('Mapa final'!#REF!="Muy Alta",'Mapa final'!#REF!="Mayor"),CONCATENATE("R10C",'Mapa final'!#REF!),"")</f>
        <v>#REF!</v>
      </c>
      <c r="AG15" s="54" t="e">
        <f>IF(AND('Mapa final'!#REF!="Muy Alta",'Mapa final'!#REF!="Mayor"),CONCATENATE("R10C",'Mapa final'!#REF!),"")</f>
        <v>#REF!</v>
      </c>
      <c r="AH15" s="61" t="e">
        <f>IF(AND('Mapa final'!#REF!="Muy Alta",'Mapa final'!#REF!="Catastrófico"),CONCATENATE("R10C",'Mapa final'!#REF!),"")</f>
        <v>#REF!</v>
      </c>
      <c r="AI15" s="62" t="e">
        <f>IF(AND('Mapa final'!#REF!="Muy Alta",'Mapa final'!#REF!="Catastrófico"),CONCATENATE("R10C",'Mapa final'!#REF!),"")</f>
        <v>#REF!</v>
      </c>
      <c r="AJ15" s="62" t="e">
        <f>IF(AND('Mapa final'!#REF!="Muy Alta",'Mapa final'!#REF!="Catastrófico"),CONCATENATE("R10C",'Mapa final'!#REF!),"")</f>
        <v>#REF!</v>
      </c>
      <c r="AK15" s="62" t="e">
        <f>IF(AND('Mapa final'!#REF!="Muy Alta",'Mapa final'!#REF!="Catastrófico"),CONCATENATE("R10C",'Mapa final'!#REF!),"")</f>
        <v>#REF!</v>
      </c>
      <c r="AL15" s="62" t="e">
        <f>IF(AND('Mapa final'!#REF!="Muy Alta",'Mapa final'!#REF!="Catastrófico"),CONCATENATE("R10C",'Mapa final'!#REF!),"")</f>
        <v>#REF!</v>
      </c>
      <c r="AM15" s="63" t="e">
        <f>IF(AND('Mapa final'!#REF!="Muy Alta",'Mapa final'!#REF!="Catastrófico"),CONCATENATE("R10C",'Mapa final'!#REF!),"")</f>
        <v>#REF!</v>
      </c>
      <c r="AN15" s="83"/>
      <c r="AO15" s="354"/>
      <c r="AP15" s="355"/>
      <c r="AQ15" s="355"/>
      <c r="AR15" s="355"/>
      <c r="AS15" s="355"/>
      <c r="AT15" s="3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
      <c r="A16" s="83"/>
      <c r="B16" s="246"/>
      <c r="C16" s="246"/>
      <c r="D16" s="247"/>
      <c r="E16" s="341" t="s">
        <v>113</v>
      </c>
      <c r="F16" s="342"/>
      <c r="G16" s="342"/>
      <c r="H16" s="342"/>
      <c r="I16" s="342"/>
      <c r="J16" s="64" t="str">
        <f>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78</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
      <c r="A17" s="83"/>
      <c r="B17" s="246"/>
      <c r="C17" s="246"/>
      <c r="D17" s="247"/>
      <c r="E17" s="343"/>
      <c r="F17" s="344"/>
      <c r="G17" s="344"/>
      <c r="H17" s="344"/>
      <c r="I17" s="344"/>
      <c r="J17" s="67" t="str">
        <f>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
      <c r="A18" s="83"/>
      <c r="B18" s="246"/>
      <c r="C18" s="246"/>
      <c r="D18" s="247"/>
      <c r="E18" s="345"/>
      <c r="F18" s="344"/>
      <c r="G18" s="344"/>
      <c r="H18" s="344"/>
      <c r="I18" s="344"/>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
      <c r="A19" s="83"/>
      <c r="B19" s="246"/>
      <c r="C19" s="246"/>
      <c r="D19" s="247"/>
      <c r="E19" s="345"/>
      <c r="F19" s="344"/>
      <c r="G19" s="344"/>
      <c r="H19" s="344"/>
      <c r="I19" s="34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
      <c r="A20" s="83"/>
      <c r="B20" s="246"/>
      <c r="C20" s="246"/>
      <c r="D20" s="247"/>
      <c r="E20" s="345"/>
      <c r="F20" s="344"/>
      <c r="G20" s="344"/>
      <c r="H20" s="344"/>
      <c r="I20" s="34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
      <c r="A21" s="83"/>
      <c r="B21" s="246"/>
      <c r="C21" s="246"/>
      <c r="D21" s="247"/>
      <c r="E21" s="345"/>
      <c r="F21" s="344"/>
      <c r="G21" s="344"/>
      <c r="H21" s="344"/>
      <c r="I21" s="34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
      <c r="A22" s="83"/>
      <c r="B22" s="246"/>
      <c r="C22" s="246"/>
      <c r="D22" s="247"/>
      <c r="E22" s="345"/>
      <c r="F22" s="344"/>
      <c r="G22" s="344"/>
      <c r="H22" s="344"/>
      <c r="I22" s="34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
      <c r="A23" s="83"/>
      <c r="B23" s="246"/>
      <c r="C23" s="246"/>
      <c r="D23" s="247"/>
      <c r="E23" s="345"/>
      <c r="F23" s="344"/>
      <c r="G23" s="344"/>
      <c r="H23" s="344"/>
      <c r="I23" s="344"/>
      <c r="J23" s="67" t="str">
        <f>IF(AND('Mapa final'!$Y$58="Alta",'Mapa final'!$AA$58="Leve"),CONCATENATE("R8C",'Mapa final'!$O$58),"")</f>
        <v/>
      </c>
      <c r="K23" s="68" t="str">
        <f>IF(AND('Mapa final'!$Y$59="Alta",'Mapa final'!$AA$59="Leve"),CONCATENATE("R8C",'Mapa final'!$O$59),"")</f>
        <v/>
      </c>
      <c r="L23" s="68" t="str">
        <f>IF(AND('Mapa final'!$Y$60="Alta",'Mapa final'!$AA$60="Leve"),CONCATENATE("R8C",'Mapa final'!$O$60),"")</f>
        <v/>
      </c>
      <c r="M23" s="68" t="str">
        <f>IF(AND('Mapa final'!$Y$61="Alta",'Mapa final'!$AA$61="Leve"),CONCATENATE("R8C",'Mapa final'!$O$61),"")</f>
        <v/>
      </c>
      <c r="N23" s="68" t="str">
        <f>IF(AND('Mapa final'!$Y$62="Alta",'Mapa final'!$AA$62="Leve"),CONCATENATE("R8C",'Mapa final'!$O$62),"")</f>
        <v/>
      </c>
      <c r="O23" s="69" t="str">
        <f>IF(AND('Mapa final'!$Y$63="Alta",'Mapa final'!$AA$63="Leve"),CONCATENATE("R8C",'Mapa final'!$O$63),"")</f>
        <v/>
      </c>
      <c r="P23" s="67" t="str">
        <f>IF(AND('Mapa final'!$Y$58="Alta",'Mapa final'!$AA$58="Menor"),CONCATENATE("R8C",'Mapa final'!$O$58),"")</f>
        <v/>
      </c>
      <c r="Q23" s="68" t="str">
        <f>IF(AND('Mapa final'!$Y$59="Alta",'Mapa final'!$AA$59="Menor"),CONCATENATE("R8C",'Mapa final'!$O$59),"")</f>
        <v/>
      </c>
      <c r="R23" s="68" t="str">
        <f>IF(AND('Mapa final'!$Y$60="Alta",'Mapa final'!$AA$60="Menor"),CONCATENATE("R8C",'Mapa final'!$O$60),"")</f>
        <v/>
      </c>
      <c r="S23" s="68" t="str">
        <f>IF(AND('Mapa final'!$Y$61="Alta",'Mapa final'!$AA$61="Menor"),CONCATENATE("R8C",'Mapa final'!$O$61),"")</f>
        <v/>
      </c>
      <c r="T23" s="68" t="str">
        <f>IF(AND('Mapa final'!$Y$62="Alta",'Mapa final'!$AA$62="Menor"),CONCATENATE("R8C",'Mapa final'!$O$62),"")</f>
        <v/>
      </c>
      <c r="U23" s="69" t="str">
        <f>IF(AND('Mapa final'!$Y$63="Alta",'Mapa final'!$AA$63="Menor"),CONCATENATE("R8C",'Mapa final'!$O$63),"")</f>
        <v/>
      </c>
      <c r="V23" s="52" t="str">
        <f>IF(AND('Mapa final'!$Y$58="Alta",'Mapa final'!$AA$58="Moderado"),CONCATENATE("R8C",'Mapa final'!$O$58),"")</f>
        <v/>
      </c>
      <c r="W23" s="53" t="str">
        <f>IF(AND('Mapa final'!$Y$59="Alta",'Mapa final'!$AA$59="Moderado"),CONCATENATE("R8C",'Mapa final'!$O$59),"")</f>
        <v/>
      </c>
      <c r="X23" s="53" t="str">
        <f>IF(AND('Mapa final'!$Y$60="Alta",'Mapa final'!$AA$60="Moderado"),CONCATENATE("R8C",'Mapa final'!$O$60),"")</f>
        <v/>
      </c>
      <c r="Y23" s="53" t="str">
        <f>IF(AND('Mapa final'!$Y$61="Alta",'Mapa final'!$AA$61="Moderado"),CONCATENATE("R8C",'Mapa final'!$O$61),"")</f>
        <v/>
      </c>
      <c r="Z23" s="53" t="str">
        <f>IF(AND('Mapa final'!$Y$62="Alta",'Mapa final'!$AA$62="Moderado"),CONCATENATE("R8C",'Mapa final'!$O$62),"")</f>
        <v/>
      </c>
      <c r="AA23" s="54" t="str">
        <f>IF(AND('Mapa final'!$Y$63="Alta",'Mapa final'!$AA$63="Moderado"),CONCATENATE("R8C",'Mapa final'!$O$63),"")</f>
        <v/>
      </c>
      <c r="AB23" s="52" t="str">
        <f>IF(AND('Mapa final'!$Y$58="Alta",'Mapa final'!$AA$58="Mayor"),CONCATENATE("R8C",'Mapa final'!$O$58),"")</f>
        <v/>
      </c>
      <c r="AC23" s="53" t="str">
        <f>IF(AND('Mapa final'!$Y$59="Alta",'Mapa final'!$AA$59="Mayor"),CONCATENATE("R8C",'Mapa final'!$O$59),"")</f>
        <v/>
      </c>
      <c r="AD23" s="53" t="str">
        <f>IF(AND('Mapa final'!$Y$60="Alta",'Mapa final'!$AA$60="Mayor"),CONCATENATE("R8C",'Mapa final'!$O$60),"")</f>
        <v/>
      </c>
      <c r="AE23" s="53" t="str">
        <f>IF(AND('Mapa final'!$Y$61="Alta",'Mapa final'!$AA$61="Mayor"),CONCATENATE("R8C",'Mapa final'!$O$61),"")</f>
        <v/>
      </c>
      <c r="AF23" s="53" t="str">
        <f>IF(AND('Mapa final'!$Y$62="Alta",'Mapa final'!$AA$62="Mayor"),CONCATENATE("R8C",'Mapa final'!$O$62),"")</f>
        <v/>
      </c>
      <c r="AG23" s="54" t="str">
        <f>IF(AND('Mapa final'!$Y$63="Alta",'Mapa final'!$AA$63="Mayor"),CONCATENATE("R8C",'Mapa final'!$O$63),"")</f>
        <v/>
      </c>
      <c r="AH23" s="55" t="str">
        <f>IF(AND('Mapa final'!$Y$58="Alta",'Mapa final'!$AA$58="Catastrófico"),CONCATENATE("R8C",'Mapa final'!$O$58),"")</f>
        <v/>
      </c>
      <c r="AI23" s="56" t="str">
        <f>IF(AND('Mapa final'!$Y$59="Alta",'Mapa final'!$AA$59="Catastrófico"),CONCATENATE("R8C",'Mapa final'!$O$59),"")</f>
        <v/>
      </c>
      <c r="AJ23" s="56" t="str">
        <f>IF(AND('Mapa final'!$Y$60="Alta",'Mapa final'!$AA$60="Catastrófico"),CONCATENATE("R8C",'Mapa final'!$O$60),"")</f>
        <v/>
      </c>
      <c r="AK23" s="56" t="str">
        <f>IF(AND('Mapa final'!$Y$61="Alta",'Mapa final'!$AA$61="Catastrófico"),CONCATENATE("R8C",'Mapa final'!$O$61),"")</f>
        <v/>
      </c>
      <c r="AL23" s="56" t="str">
        <f>IF(AND('Mapa final'!$Y$62="Alta",'Mapa final'!$AA$62="Catastrófico"),CONCATENATE("R8C",'Mapa final'!$O$62),"")</f>
        <v/>
      </c>
      <c r="AM23" s="57" t="str">
        <f>IF(AND('Mapa final'!$Y$63="Alta",'Mapa final'!$AA$63="Catastrófico"),CONCATENATE("R8C",'Mapa final'!$O$63),"")</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
      <c r="A24" s="83"/>
      <c r="B24" s="246"/>
      <c r="C24" s="246"/>
      <c r="D24" s="247"/>
      <c r="E24" s="345"/>
      <c r="F24" s="344"/>
      <c r="G24" s="344"/>
      <c r="H24" s="344"/>
      <c r="I24" s="344"/>
      <c r="J24" s="67" t="str">
        <f>IF(AND('Mapa final'!$Y$64="Alta",'Mapa final'!$AA$64="Leve"),CONCATENATE("R9C",'Mapa final'!$O$64),"")</f>
        <v/>
      </c>
      <c r="K24" s="68" t="str">
        <f>IF(AND('Mapa final'!$Y$65="Alta",'Mapa final'!$AA$65="Leve"),CONCATENATE("R9C",'Mapa final'!$O$65),"")</f>
        <v/>
      </c>
      <c r="L24" s="68" t="str">
        <f>IF(AND('Mapa final'!$Y$66="Alta",'Mapa final'!$AA$66="Leve"),CONCATENATE("R9C",'Mapa final'!$O$66),"")</f>
        <v/>
      </c>
      <c r="M24" s="68" t="str">
        <f>IF(AND('Mapa final'!$Y$67="Alta",'Mapa final'!$AA$67="Leve"),CONCATENATE("R9C",'Mapa final'!$O$67),"")</f>
        <v/>
      </c>
      <c r="N24" s="68" t="str">
        <f>IF(AND('Mapa final'!$Y$68="Alta",'Mapa final'!$AA$68="Leve"),CONCATENATE("R9C",'Mapa final'!$O$68),"")</f>
        <v/>
      </c>
      <c r="O24" s="69" t="str">
        <f>IF(AND('Mapa final'!$Y$69="Alta",'Mapa final'!$AA$69="Leve"),CONCATENATE("R9C",'Mapa final'!$O$69),"")</f>
        <v/>
      </c>
      <c r="P24" s="67" t="str">
        <f>IF(AND('Mapa final'!$Y$64="Alta",'Mapa final'!$AA$64="Menor"),CONCATENATE("R9C",'Mapa final'!$O$64),"")</f>
        <v/>
      </c>
      <c r="Q24" s="68" t="str">
        <f>IF(AND('Mapa final'!$Y$65="Alta",'Mapa final'!$AA$65="Menor"),CONCATENATE("R9C",'Mapa final'!$O$65),"")</f>
        <v/>
      </c>
      <c r="R24" s="68" t="str">
        <f>IF(AND('Mapa final'!$Y$66="Alta",'Mapa final'!$AA$66="Menor"),CONCATENATE("R9C",'Mapa final'!$O$66),"")</f>
        <v/>
      </c>
      <c r="S24" s="68" t="str">
        <f>IF(AND('Mapa final'!$Y$67="Alta",'Mapa final'!$AA$67="Menor"),CONCATENATE("R9C",'Mapa final'!$O$67),"")</f>
        <v/>
      </c>
      <c r="T24" s="68" t="str">
        <f>IF(AND('Mapa final'!$Y$68="Alta",'Mapa final'!$AA$68="Menor"),CONCATENATE("R9C",'Mapa final'!$O$68),"")</f>
        <v/>
      </c>
      <c r="U24" s="69" t="str">
        <f>IF(AND('Mapa final'!$Y$69="Alta",'Mapa final'!$AA$69="Menor"),CONCATENATE("R9C",'Mapa final'!$O$69),"")</f>
        <v/>
      </c>
      <c r="V24" s="52" t="str">
        <f>IF(AND('Mapa final'!$Y$64="Alta",'Mapa final'!$AA$64="Moderado"),CONCATENATE("R9C",'Mapa final'!$O$64),"")</f>
        <v/>
      </c>
      <c r="W24" s="53" t="str">
        <f>IF(AND('Mapa final'!$Y$65="Alta",'Mapa final'!$AA$65="Moderado"),CONCATENATE("R9C",'Mapa final'!$O$65),"")</f>
        <v/>
      </c>
      <c r="X24" s="53" t="str">
        <f>IF(AND('Mapa final'!$Y$66="Alta",'Mapa final'!$AA$66="Moderado"),CONCATENATE("R9C",'Mapa final'!$O$66),"")</f>
        <v/>
      </c>
      <c r="Y24" s="53" t="str">
        <f>IF(AND('Mapa final'!$Y$67="Alta",'Mapa final'!$AA$67="Moderado"),CONCATENATE("R9C",'Mapa final'!$O$67),"")</f>
        <v/>
      </c>
      <c r="Z24" s="53" t="str">
        <f>IF(AND('Mapa final'!$Y$68="Alta",'Mapa final'!$AA$68="Moderado"),CONCATENATE("R9C",'Mapa final'!$O$68),"")</f>
        <v/>
      </c>
      <c r="AA24" s="54" t="str">
        <f>IF(AND('Mapa final'!$Y$69="Alta",'Mapa final'!$AA$69="Moderado"),CONCATENATE("R9C",'Mapa final'!$O$69),"")</f>
        <v/>
      </c>
      <c r="AB24" s="52" t="str">
        <f>IF(AND('Mapa final'!$Y$64="Alta",'Mapa final'!$AA$64="Mayor"),CONCATENATE("R9C",'Mapa final'!$O$64),"")</f>
        <v/>
      </c>
      <c r="AC24" s="53" t="str">
        <f>IF(AND('Mapa final'!$Y$65="Alta",'Mapa final'!$AA$65="Mayor"),CONCATENATE("R9C",'Mapa final'!$O$65),"")</f>
        <v/>
      </c>
      <c r="AD24" s="53" t="str">
        <f>IF(AND('Mapa final'!$Y$66="Alta",'Mapa final'!$AA$66="Mayor"),CONCATENATE("R9C",'Mapa final'!$O$66),"")</f>
        <v/>
      </c>
      <c r="AE24" s="53" t="str">
        <f>IF(AND('Mapa final'!$Y$67="Alta",'Mapa final'!$AA$67="Mayor"),CONCATENATE("R9C",'Mapa final'!$O$67),"")</f>
        <v/>
      </c>
      <c r="AF24" s="53" t="str">
        <f>IF(AND('Mapa final'!$Y$68="Alta",'Mapa final'!$AA$68="Mayor"),CONCATENATE("R9C",'Mapa final'!$O$68),"")</f>
        <v/>
      </c>
      <c r="AG24" s="54" t="str">
        <f>IF(AND('Mapa final'!$Y$69="Alta",'Mapa final'!$AA$69="Mayor"),CONCATENATE("R9C",'Mapa final'!$O$69),"")</f>
        <v/>
      </c>
      <c r="AH24" s="55" t="str">
        <f>IF(AND('Mapa final'!$Y$64="Alta",'Mapa final'!$AA$64="Catastrófico"),CONCATENATE("R9C",'Mapa final'!$O$64),"")</f>
        <v/>
      </c>
      <c r="AI24" s="56" t="str">
        <f>IF(AND('Mapa final'!$Y$65="Alta",'Mapa final'!$AA$65="Catastrófico"),CONCATENATE("R9C",'Mapa final'!$O$65),"")</f>
        <v/>
      </c>
      <c r="AJ24" s="56" t="str">
        <f>IF(AND('Mapa final'!$Y$66="Alta",'Mapa final'!$AA$66="Catastrófico"),CONCATENATE("R9C",'Mapa final'!$O$66),"")</f>
        <v/>
      </c>
      <c r="AK24" s="56" t="str">
        <f>IF(AND('Mapa final'!$Y$67="Alta",'Mapa final'!$AA$67="Catastrófico"),CONCATENATE("R9C",'Mapa final'!$O$67),"")</f>
        <v/>
      </c>
      <c r="AL24" s="56" t="str">
        <f>IF(AND('Mapa final'!$Y$68="Alta",'Mapa final'!$AA$68="Catastrófico"),CONCATENATE("R9C",'Mapa final'!$O$68),"")</f>
        <v/>
      </c>
      <c r="AM24" s="57" t="str">
        <f>IF(AND('Mapa final'!$Y$69="Alta",'Mapa final'!$AA$69="Catastrófico"),CONCATENATE("R9C",'Mapa final'!$O$69),"")</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25">
      <c r="A25" s="83"/>
      <c r="B25" s="246"/>
      <c r="C25" s="246"/>
      <c r="D25" s="247"/>
      <c r="E25" s="346"/>
      <c r="F25" s="347"/>
      <c r="G25" s="347"/>
      <c r="H25" s="347"/>
      <c r="I25" s="347"/>
      <c r="J25" s="70" t="e">
        <f>IF(AND('Mapa final'!#REF!="Alta",'Mapa final'!#REF!="Leve"),CONCATENATE("R10C",'Mapa final'!#REF!),"")</f>
        <v>#REF!</v>
      </c>
      <c r="K25" s="71" t="e">
        <f>IF(AND('Mapa final'!#REF!="Alta",'Mapa final'!#REF!="Leve"),CONCATENATE("R10C",'Mapa final'!#REF!),"")</f>
        <v>#REF!</v>
      </c>
      <c r="L25" s="71" t="e">
        <f>IF(AND('Mapa final'!#REF!="Alta",'Mapa final'!#REF!="Leve"),CONCATENATE("R10C",'Mapa final'!#REF!),"")</f>
        <v>#REF!</v>
      </c>
      <c r="M25" s="71" t="e">
        <f>IF(AND('Mapa final'!#REF!="Alta",'Mapa final'!#REF!="Leve"),CONCATENATE("R10C",'Mapa final'!#REF!),"")</f>
        <v>#REF!</v>
      </c>
      <c r="N25" s="71" t="e">
        <f>IF(AND('Mapa final'!#REF!="Alta",'Mapa final'!#REF!="Leve"),CONCATENATE("R10C",'Mapa final'!#REF!),"")</f>
        <v>#REF!</v>
      </c>
      <c r="O25" s="72" t="e">
        <f>IF(AND('Mapa final'!#REF!="Alta",'Mapa final'!#REF!="Leve"),CONCATENATE("R10C",'Mapa final'!#REF!),"")</f>
        <v>#REF!</v>
      </c>
      <c r="P25" s="70" t="e">
        <f>IF(AND('Mapa final'!#REF!="Alta",'Mapa final'!#REF!="Menor"),CONCATENATE("R10C",'Mapa final'!#REF!),"")</f>
        <v>#REF!</v>
      </c>
      <c r="Q25" s="71" t="e">
        <f>IF(AND('Mapa final'!#REF!="Alta",'Mapa final'!#REF!="Menor"),CONCATENATE("R10C",'Mapa final'!#REF!),"")</f>
        <v>#REF!</v>
      </c>
      <c r="R25" s="71" t="e">
        <f>IF(AND('Mapa final'!#REF!="Alta",'Mapa final'!#REF!="Menor"),CONCATENATE("R10C",'Mapa final'!#REF!),"")</f>
        <v>#REF!</v>
      </c>
      <c r="S25" s="71" t="e">
        <f>IF(AND('Mapa final'!#REF!="Alta",'Mapa final'!#REF!="Menor"),CONCATENATE("R10C",'Mapa final'!#REF!),"")</f>
        <v>#REF!</v>
      </c>
      <c r="T25" s="71" t="e">
        <f>IF(AND('Mapa final'!#REF!="Alta",'Mapa final'!#REF!="Menor"),CONCATENATE("R10C",'Mapa final'!#REF!),"")</f>
        <v>#REF!</v>
      </c>
      <c r="U25" s="72" t="e">
        <f>IF(AND('Mapa final'!#REF!="Alta",'Mapa final'!#REF!="Menor"),CONCATENATE("R10C",'Mapa final'!#REF!),"")</f>
        <v>#REF!</v>
      </c>
      <c r="V25" s="58" t="e">
        <f>IF(AND('Mapa final'!#REF!="Alta",'Mapa final'!#REF!="Moderado"),CONCATENATE("R10C",'Mapa final'!#REF!),"")</f>
        <v>#REF!</v>
      </c>
      <c r="W25" s="59" t="e">
        <f>IF(AND('Mapa final'!#REF!="Alta",'Mapa final'!#REF!="Moderado"),CONCATENATE("R10C",'Mapa final'!#REF!),"")</f>
        <v>#REF!</v>
      </c>
      <c r="X25" s="59" t="e">
        <f>IF(AND('Mapa final'!#REF!="Alta",'Mapa final'!#REF!="Moderado"),CONCATENATE("R10C",'Mapa final'!#REF!),"")</f>
        <v>#REF!</v>
      </c>
      <c r="Y25" s="59" t="e">
        <f>IF(AND('Mapa final'!#REF!="Alta",'Mapa final'!#REF!="Moderado"),CONCATENATE("R10C",'Mapa final'!#REF!),"")</f>
        <v>#REF!</v>
      </c>
      <c r="Z25" s="59" t="e">
        <f>IF(AND('Mapa final'!#REF!="Alta",'Mapa final'!#REF!="Moderado"),CONCATENATE("R10C",'Mapa final'!#REF!),"")</f>
        <v>#REF!</v>
      </c>
      <c r="AA25" s="60" t="e">
        <f>IF(AND('Mapa final'!#REF!="Alta",'Mapa final'!#REF!="Moderado"),CONCATENATE("R10C",'Mapa final'!#REF!),"")</f>
        <v>#REF!</v>
      </c>
      <c r="AB25" s="58" t="e">
        <f>IF(AND('Mapa final'!#REF!="Alta",'Mapa final'!#REF!="Mayor"),CONCATENATE("R10C",'Mapa final'!#REF!),"")</f>
        <v>#REF!</v>
      </c>
      <c r="AC25" s="59" t="e">
        <f>IF(AND('Mapa final'!#REF!="Alta",'Mapa final'!#REF!="Mayor"),CONCATENATE("R10C",'Mapa final'!#REF!),"")</f>
        <v>#REF!</v>
      </c>
      <c r="AD25" s="59" t="e">
        <f>IF(AND('Mapa final'!#REF!="Alta",'Mapa final'!#REF!="Mayor"),CONCATENATE("R10C",'Mapa final'!#REF!),"")</f>
        <v>#REF!</v>
      </c>
      <c r="AE25" s="59" t="e">
        <f>IF(AND('Mapa final'!#REF!="Alta",'Mapa final'!#REF!="Mayor"),CONCATENATE("R10C",'Mapa final'!#REF!),"")</f>
        <v>#REF!</v>
      </c>
      <c r="AF25" s="59" t="e">
        <f>IF(AND('Mapa final'!#REF!="Alta",'Mapa final'!#REF!="Mayor"),CONCATENATE("R10C",'Mapa final'!#REF!),"")</f>
        <v>#REF!</v>
      </c>
      <c r="AG25" s="60" t="e">
        <f>IF(AND('Mapa final'!#REF!="Alta",'Mapa final'!#REF!="Mayor"),CONCATENATE("R10C",'Mapa final'!#REF!),"")</f>
        <v>#REF!</v>
      </c>
      <c r="AH25" s="61" t="e">
        <f>IF(AND('Mapa final'!#REF!="Alta",'Mapa final'!#REF!="Catastrófico"),CONCATENATE("R10C",'Mapa final'!#REF!),"")</f>
        <v>#REF!</v>
      </c>
      <c r="AI25" s="62" t="e">
        <f>IF(AND('Mapa final'!#REF!="Alta",'Mapa final'!#REF!="Catastrófico"),CONCATENATE("R10C",'Mapa final'!#REF!),"")</f>
        <v>#REF!</v>
      </c>
      <c r="AJ25" s="62" t="e">
        <f>IF(AND('Mapa final'!#REF!="Alta",'Mapa final'!#REF!="Catastrófico"),CONCATENATE("R10C",'Mapa final'!#REF!),"")</f>
        <v>#REF!</v>
      </c>
      <c r="AK25" s="62" t="e">
        <f>IF(AND('Mapa final'!#REF!="Alta",'Mapa final'!#REF!="Catastrófico"),CONCATENATE("R10C",'Mapa final'!#REF!),"")</f>
        <v>#REF!</v>
      </c>
      <c r="AL25" s="62" t="e">
        <f>IF(AND('Mapa final'!#REF!="Alta",'Mapa final'!#REF!="Catastrófico"),CONCATENATE("R10C",'Mapa final'!#REF!),"")</f>
        <v>#REF!</v>
      </c>
      <c r="AM25" s="63" t="e">
        <f>IF(AND('Mapa final'!#REF!="Alta",'Mapa final'!#REF!="Catastrófico"),CONCATENATE("R10C",'Mapa final'!#REF!),"")</f>
        <v>#REF!</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
      <c r="A26" s="83"/>
      <c r="B26" s="246"/>
      <c r="C26" s="246"/>
      <c r="D26" s="247"/>
      <c r="E26" s="341" t="s">
        <v>115</v>
      </c>
      <c r="F26" s="342"/>
      <c r="G26" s="342"/>
      <c r="H26" s="342"/>
      <c r="I26" s="359"/>
      <c r="J26" s="64" t="str">
        <f>IF(AND('Mapa final'!$Y$10="Media",'Mapa final'!$AA$10="Leve"),CONCATENATE("R1C",'Mapa final'!$O$10),"")</f>
        <v>R1C1</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71" t="s">
        <v>79</v>
      </c>
      <c r="AP26" s="372"/>
      <c r="AQ26" s="372"/>
      <c r="AR26" s="372"/>
      <c r="AS26" s="372"/>
      <c r="AT26" s="37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
      <c r="A27" s="83"/>
      <c r="B27" s="246"/>
      <c r="C27" s="246"/>
      <c r="D27" s="247"/>
      <c r="E27" s="343"/>
      <c r="F27" s="344"/>
      <c r="G27" s="344"/>
      <c r="H27" s="344"/>
      <c r="I27" s="360"/>
      <c r="J27" s="67" t="str">
        <f>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74"/>
      <c r="AP27" s="375"/>
      <c r="AQ27" s="375"/>
      <c r="AR27" s="375"/>
      <c r="AS27" s="375"/>
      <c r="AT27" s="3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
      <c r="A28" s="83"/>
      <c r="B28" s="246"/>
      <c r="C28" s="246"/>
      <c r="D28" s="247"/>
      <c r="E28" s="345"/>
      <c r="F28" s="344"/>
      <c r="G28" s="344"/>
      <c r="H28" s="344"/>
      <c r="I28" s="36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74"/>
      <c r="AP28" s="375"/>
      <c r="AQ28" s="375"/>
      <c r="AR28" s="375"/>
      <c r="AS28" s="375"/>
      <c r="AT28" s="3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
      <c r="A29" s="83"/>
      <c r="B29" s="246"/>
      <c r="C29" s="246"/>
      <c r="D29" s="247"/>
      <c r="E29" s="345"/>
      <c r="F29" s="344"/>
      <c r="G29" s="344"/>
      <c r="H29" s="344"/>
      <c r="I29" s="36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74"/>
      <c r="AP29" s="375"/>
      <c r="AQ29" s="375"/>
      <c r="AR29" s="375"/>
      <c r="AS29" s="375"/>
      <c r="AT29" s="37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
      <c r="A30" s="83"/>
      <c r="B30" s="246"/>
      <c r="C30" s="246"/>
      <c r="D30" s="247"/>
      <c r="E30" s="345"/>
      <c r="F30" s="344"/>
      <c r="G30" s="344"/>
      <c r="H30" s="344"/>
      <c r="I30" s="36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74"/>
      <c r="AP30" s="375"/>
      <c r="AQ30" s="375"/>
      <c r="AR30" s="375"/>
      <c r="AS30" s="375"/>
      <c r="AT30" s="3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
      <c r="A31" s="83"/>
      <c r="B31" s="246"/>
      <c r="C31" s="246"/>
      <c r="D31" s="247"/>
      <c r="E31" s="345"/>
      <c r="F31" s="344"/>
      <c r="G31" s="344"/>
      <c r="H31" s="344"/>
      <c r="I31" s="36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74"/>
      <c r="AP31" s="375"/>
      <c r="AQ31" s="375"/>
      <c r="AR31" s="375"/>
      <c r="AS31" s="375"/>
      <c r="AT31" s="37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
      <c r="A32" s="83"/>
      <c r="B32" s="246"/>
      <c r="C32" s="246"/>
      <c r="D32" s="247"/>
      <c r="E32" s="345"/>
      <c r="F32" s="344"/>
      <c r="G32" s="344"/>
      <c r="H32" s="344"/>
      <c r="I32" s="36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R7C1</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74"/>
      <c r="AP32" s="375"/>
      <c r="AQ32" s="375"/>
      <c r="AR32" s="375"/>
      <c r="AS32" s="375"/>
      <c r="AT32" s="37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
      <c r="A33" s="83"/>
      <c r="B33" s="246"/>
      <c r="C33" s="246"/>
      <c r="D33" s="247"/>
      <c r="E33" s="345"/>
      <c r="F33" s="344"/>
      <c r="G33" s="344"/>
      <c r="H33" s="344"/>
      <c r="I33" s="360"/>
      <c r="J33" s="67" t="str">
        <f>IF(AND('Mapa final'!$Y$58="Media",'Mapa final'!$AA$58="Leve"),CONCATENATE("R8C",'Mapa final'!$O$58),"")</f>
        <v/>
      </c>
      <c r="K33" s="68" t="str">
        <f>IF(AND('Mapa final'!$Y$59="Media",'Mapa final'!$AA$59="Leve"),CONCATENATE("R8C",'Mapa final'!$O$59),"")</f>
        <v/>
      </c>
      <c r="L33" s="68" t="str">
        <f>IF(AND('Mapa final'!$Y$60="Media",'Mapa final'!$AA$60="Leve"),CONCATENATE("R8C",'Mapa final'!$O$60),"")</f>
        <v/>
      </c>
      <c r="M33" s="68" t="str">
        <f>IF(AND('Mapa final'!$Y$61="Media",'Mapa final'!$AA$61="Leve"),CONCATENATE("R8C",'Mapa final'!$O$61),"")</f>
        <v/>
      </c>
      <c r="N33" s="68" t="str">
        <f>IF(AND('Mapa final'!$Y$62="Media",'Mapa final'!$AA$62="Leve"),CONCATENATE("R8C",'Mapa final'!$O$62),"")</f>
        <v/>
      </c>
      <c r="O33" s="69" t="str">
        <f>IF(AND('Mapa final'!$Y$63="Media",'Mapa final'!$AA$63="Leve"),CONCATENATE("R8C",'Mapa final'!$O$63),"")</f>
        <v/>
      </c>
      <c r="P33" s="67" t="str">
        <f>IF(AND('Mapa final'!$Y$58="Media",'Mapa final'!$AA$58="Menor"),CONCATENATE("R8C",'Mapa final'!$O$58),"")</f>
        <v/>
      </c>
      <c r="Q33" s="68" t="str">
        <f>IF(AND('Mapa final'!$Y$59="Media",'Mapa final'!$AA$59="Menor"),CONCATENATE("R8C",'Mapa final'!$O$59),"")</f>
        <v>R8C2</v>
      </c>
      <c r="R33" s="68" t="str">
        <f>IF(AND('Mapa final'!$Y$60="Media",'Mapa final'!$AA$60="Menor"),CONCATENATE("R8C",'Mapa final'!$O$60),"")</f>
        <v>R8C3</v>
      </c>
      <c r="S33" s="68" t="str">
        <f>IF(AND('Mapa final'!$Y$61="Media",'Mapa final'!$AA$61="Menor"),CONCATENATE("R8C",'Mapa final'!$O$61),"")</f>
        <v/>
      </c>
      <c r="T33" s="68" t="str">
        <f>IF(AND('Mapa final'!$Y$62="Media",'Mapa final'!$AA$62="Menor"),CONCATENATE("R8C",'Mapa final'!$O$62),"")</f>
        <v/>
      </c>
      <c r="U33" s="69" t="str">
        <f>IF(AND('Mapa final'!$Y$63="Media",'Mapa final'!$AA$63="Menor"),CONCATENATE("R8C",'Mapa final'!$O$63),"")</f>
        <v/>
      </c>
      <c r="V33" s="67" t="str">
        <f>IF(AND('Mapa final'!$Y$58="Media",'Mapa final'!$AA$58="Moderado"),CONCATENATE("R8C",'Mapa final'!$O$58),"")</f>
        <v>R8C1</v>
      </c>
      <c r="W33" s="68" t="str">
        <f>IF(AND('Mapa final'!$Y$59="Media",'Mapa final'!$AA$59="Moderado"),CONCATENATE("R8C",'Mapa final'!$O$59),"")</f>
        <v/>
      </c>
      <c r="X33" s="68" t="str">
        <f>IF(AND('Mapa final'!$Y$60="Media",'Mapa final'!$AA$60="Moderado"),CONCATENATE("R8C",'Mapa final'!$O$60),"")</f>
        <v/>
      </c>
      <c r="Y33" s="68" t="str">
        <f>IF(AND('Mapa final'!$Y$61="Media",'Mapa final'!$AA$61="Moderado"),CONCATENATE("R8C",'Mapa final'!$O$61),"")</f>
        <v/>
      </c>
      <c r="Z33" s="68" t="str">
        <f>IF(AND('Mapa final'!$Y$62="Media",'Mapa final'!$AA$62="Moderado"),CONCATENATE("R8C",'Mapa final'!$O$62),"")</f>
        <v/>
      </c>
      <c r="AA33" s="69" t="str">
        <f>IF(AND('Mapa final'!$Y$63="Media",'Mapa final'!$AA$63="Moderado"),CONCATENATE("R8C",'Mapa final'!$O$63),"")</f>
        <v/>
      </c>
      <c r="AB33" s="52" t="str">
        <f>IF(AND('Mapa final'!$Y$58="Media",'Mapa final'!$AA$58="Mayor"),CONCATENATE("R8C",'Mapa final'!$O$58),"")</f>
        <v/>
      </c>
      <c r="AC33" s="53" t="str">
        <f>IF(AND('Mapa final'!$Y$59="Media",'Mapa final'!$AA$59="Mayor"),CONCATENATE("R8C",'Mapa final'!$O$59),"")</f>
        <v/>
      </c>
      <c r="AD33" s="53" t="str">
        <f>IF(AND('Mapa final'!$Y$60="Media",'Mapa final'!$AA$60="Mayor"),CONCATENATE("R8C",'Mapa final'!$O$60),"")</f>
        <v/>
      </c>
      <c r="AE33" s="53" t="str">
        <f>IF(AND('Mapa final'!$Y$61="Media",'Mapa final'!$AA$61="Mayor"),CONCATENATE("R8C",'Mapa final'!$O$61),"")</f>
        <v/>
      </c>
      <c r="AF33" s="53" t="str">
        <f>IF(AND('Mapa final'!$Y$62="Media",'Mapa final'!$AA$62="Mayor"),CONCATENATE("R8C",'Mapa final'!$O$62),"")</f>
        <v/>
      </c>
      <c r="AG33" s="54" t="str">
        <f>IF(AND('Mapa final'!$Y$63="Media",'Mapa final'!$AA$63="Mayor"),CONCATENATE("R8C",'Mapa final'!$O$63),"")</f>
        <v/>
      </c>
      <c r="AH33" s="55" t="str">
        <f>IF(AND('Mapa final'!$Y$58="Media",'Mapa final'!$AA$58="Catastrófico"),CONCATENATE("R8C",'Mapa final'!$O$58),"")</f>
        <v/>
      </c>
      <c r="AI33" s="56" t="str">
        <f>IF(AND('Mapa final'!$Y$59="Media",'Mapa final'!$AA$59="Catastrófico"),CONCATENATE("R8C",'Mapa final'!$O$59),"")</f>
        <v/>
      </c>
      <c r="AJ33" s="56" t="str">
        <f>IF(AND('Mapa final'!$Y$60="Media",'Mapa final'!$AA$60="Catastrófico"),CONCATENATE("R8C",'Mapa final'!$O$60),"")</f>
        <v/>
      </c>
      <c r="AK33" s="56" t="str">
        <f>IF(AND('Mapa final'!$Y$61="Media",'Mapa final'!$AA$61="Catastrófico"),CONCATENATE("R8C",'Mapa final'!$O$61),"")</f>
        <v/>
      </c>
      <c r="AL33" s="56" t="str">
        <f>IF(AND('Mapa final'!$Y$62="Media",'Mapa final'!$AA$62="Catastrófico"),CONCATENATE("R8C",'Mapa final'!$O$62),"")</f>
        <v/>
      </c>
      <c r="AM33" s="57" t="str">
        <f>IF(AND('Mapa final'!$Y$63="Media",'Mapa final'!$AA$63="Catastrófico"),CONCATENATE("R8C",'Mapa final'!$O$63),"")</f>
        <v/>
      </c>
      <c r="AN33" s="83"/>
      <c r="AO33" s="374"/>
      <c r="AP33" s="375"/>
      <c r="AQ33" s="375"/>
      <c r="AR33" s="375"/>
      <c r="AS33" s="375"/>
      <c r="AT33" s="37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
      <c r="A34" s="83"/>
      <c r="B34" s="246"/>
      <c r="C34" s="246"/>
      <c r="D34" s="247"/>
      <c r="E34" s="345"/>
      <c r="F34" s="344"/>
      <c r="G34" s="344"/>
      <c r="H34" s="344"/>
      <c r="I34" s="360"/>
      <c r="J34" s="67" t="str">
        <f>IF(AND('Mapa final'!$Y$64="Media",'Mapa final'!$AA$64="Leve"),CONCATENATE("R9C",'Mapa final'!$O$64),"")</f>
        <v/>
      </c>
      <c r="K34" s="68" t="str">
        <f>IF(AND('Mapa final'!$Y$65="Media",'Mapa final'!$AA$65="Leve"),CONCATENATE("R9C",'Mapa final'!$O$65),"")</f>
        <v/>
      </c>
      <c r="L34" s="68" t="str">
        <f>IF(AND('Mapa final'!$Y$66="Media",'Mapa final'!$AA$66="Leve"),CONCATENATE("R9C",'Mapa final'!$O$66),"")</f>
        <v/>
      </c>
      <c r="M34" s="68" t="str">
        <f>IF(AND('Mapa final'!$Y$67="Media",'Mapa final'!$AA$67="Leve"),CONCATENATE("R9C",'Mapa final'!$O$67),"")</f>
        <v/>
      </c>
      <c r="N34" s="68" t="str">
        <f>IF(AND('Mapa final'!$Y$68="Media",'Mapa final'!$AA$68="Leve"),CONCATENATE("R9C",'Mapa final'!$O$68),"")</f>
        <v/>
      </c>
      <c r="O34" s="69" t="str">
        <f>IF(AND('Mapa final'!$Y$69="Media",'Mapa final'!$AA$69="Leve"),CONCATENATE("R9C",'Mapa final'!$O$69),"")</f>
        <v/>
      </c>
      <c r="P34" s="67" t="str">
        <f>IF(AND('Mapa final'!$Y$64="Media",'Mapa final'!$AA$64="Menor"),CONCATENATE("R9C",'Mapa final'!$O$64),"")</f>
        <v/>
      </c>
      <c r="Q34" s="68" t="str">
        <f>IF(AND('Mapa final'!$Y$65="Media",'Mapa final'!$AA$65="Menor"),CONCATENATE("R9C",'Mapa final'!$O$65),"")</f>
        <v/>
      </c>
      <c r="R34" s="68" t="str">
        <f>IF(AND('Mapa final'!$Y$66="Media",'Mapa final'!$AA$66="Menor"),CONCATENATE("R9C",'Mapa final'!$O$66),"")</f>
        <v/>
      </c>
      <c r="S34" s="68" t="str">
        <f>IF(AND('Mapa final'!$Y$67="Media",'Mapa final'!$AA$67="Menor"),CONCATENATE("R9C",'Mapa final'!$O$67),"")</f>
        <v/>
      </c>
      <c r="T34" s="68" t="str">
        <f>IF(AND('Mapa final'!$Y$68="Media",'Mapa final'!$AA$68="Menor"),CONCATENATE("R9C",'Mapa final'!$O$68),"")</f>
        <v/>
      </c>
      <c r="U34" s="69" t="str">
        <f>IF(AND('Mapa final'!$Y$69="Media",'Mapa final'!$AA$69="Menor"),CONCATENATE("R9C",'Mapa final'!$O$69),"")</f>
        <v/>
      </c>
      <c r="V34" s="67" t="str">
        <f>IF(AND('Mapa final'!$Y$64="Media",'Mapa final'!$AA$64="Moderado"),CONCATENATE("R9C",'Mapa final'!$O$64),"")</f>
        <v/>
      </c>
      <c r="W34" s="68" t="str">
        <f>IF(AND('Mapa final'!$Y$65="Media",'Mapa final'!$AA$65="Moderado"),CONCATENATE("R9C",'Mapa final'!$O$65),"")</f>
        <v>R9C2</v>
      </c>
      <c r="X34" s="68" t="str">
        <f>IF(AND('Mapa final'!$Y$66="Media",'Mapa final'!$AA$66="Moderado"),CONCATENATE("R9C",'Mapa final'!$O$66),"")</f>
        <v/>
      </c>
      <c r="Y34" s="68" t="str">
        <f>IF(AND('Mapa final'!$Y$67="Media",'Mapa final'!$AA$67="Moderado"),CONCATENATE("R9C",'Mapa final'!$O$67),"")</f>
        <v/>
      </c>
      <c r="Z34" s="68" t="str">
        <f>IF(AND('Mapa final'!$Y$68="Media",'Mapa final'!$AA$68="Moderado"),CONCATENATE("R9C",'Mapa final'!$O$68),"")</f>
        <v/>
      </c>
      <c r="AA34" s="69" t="str">
        <f>IF(AND('Mapa final'!$Y$69="Media",'Mapa final'!$AA$69="Moderado"),CONCATENATE("R9C",'Mapa final'!$O$69),"")</f>
        <v/>
      </c>
      <c r="AB34" s="52" t="str">
        <f>IF(AND('Mapa final'!$Y$64="Media",'Mapa final'!$AA$64="Mayor"),CONCATENATE("R9C",'Mapa final'!$O$64),"")</f>
        <v>R9C1</v>
      </c>
      <c r="AC34" s="53" t="str">
        <f>IF(AND('Mapa final'!$Y$65="Media",'Mapa final'!$AA$65="Mayor"),CONCATENATE("R9C",'Mapa final'!$O$65),"")</f>
        <v/>
      </c>
      <c r="AD34" s="53" t="str">
        <f>IF(AND('Mapa final'!$Y$66="Media",'Mapa final'!$AA$66="Mayor"),CONCATENATE("R9C",'Mapa final'!$O$66),"")</f>
        <v/>
      </c>
      <c r="AE34" s="53" t="str">
        <f>IF(AND('Mapa final'!$Y$67="Media",'Mapa final'!$AA$67="Mayor"),CONCATENATE("R9C",'Mapa final'!$O$67),"")</f>
        <v/>
      </c>
      <c r="AF34" s="53" t="str">
        <f>IF(AND('Mapa final'!$Y$68="Media",'Mapa final'!$AA$68="Mayor"),CONCATENATE("R9C",'Mapa final'!$O$68),"")</f>
        <v/>
      </c>
      <c r="AG34" s="54" t="str">
        <f>IF(AND('Mapa final'!$Y$69="Media",'Mapa final'!$AA$69="Mayor"),CONCATENATE("R9C",'Mapa final'!$O$69),"")</f>
        <v/>
      </c>
      <c r="AH34" s="55" t="str">
        <f>IF(AND('Mapa final'!$Y$64="Media",'Mapa final'!$AA$64="Catastrófico"),CONCATENATE("R9C",'Mapa final'!$O$64),"")</f>
        <v/>
      </c>
      <c r="AI34" s="56" t="str">
        <f>IF(AND('Mapa final'!$Y$65="Media",'Mapa final'!$AA$65="Catastrófico"),CONCATENATE("R9C",'Mapa final'!$O$65),"")</f>
        <v/>
      </c>
      <c r="AJ34" s="56" t="str">
        <f>IF(AND('Mapa final'!$Y$66="Media",'Mapa final'!$AA$66="Catastrófico"),CONCATENATE("R9C",'Mapa final'!$O$66),"")</f>
        <v/>
      </c>
      <c r="AK34" s="56" t="str">
        <f>IF(AND('Mapa final'!$Y$67="Media",'Mapa final'!$AA$67="Catastrófico"),CONCATENATE("R9C",'Mapa final'!$O$67),"")</f>
        <v/>
      </c>
      <c r="AL34" s="56" t="str">
        <f>IF(AND('Mapa final'!$Y$68="Media",'Mapa final'!$AA$68="Catastrófico"),CONCATENATE("R9C",'Mapa final'!$O$68),"")</f>
        <v/>
      </c>
      <c r="AM34" s="57" t="str">
        <f>IF(AND('Mapa final'!$Y$69="Media",'Mapa final'!$AA$69="Catastrófico"),CONCATENATE("R9C",'Mapa final'!$O$69),"")</f>
        <v/>
      </c>
      <c r="AN34" s="83"/>
      <c r="AO34" s="374"/>
      <c r="AP34" s="375"/>
      <c r="AQ34" s="375"/>
      <c r="AR34" s="375"/>
      <c r="AS34" s="375"/>
      <c r="AT34" s="37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25">
      <c r="A35" s="83"/>
      <c r="B35" s="246"/>
      <c r="C35" s="246"/>
      <c r="D35" s="247"/>
      <c r="E35" s="346"/>
      <c r="F35" s="347"/>
      <c r="G35" s="347"/>
      <c r="H35" s="347"/>
      <c r="I35" s="361"/>
      <c r="J35" s="67" t="e">
        <f>IF(AND('Mapa final'!#REF!="Media",'Mapa final'!#REF!="Leve"),CONCATENATE("R10C",'Mapa final'!#REF!),"")</f>
        <v>#REF!</v>
      </c>
      <c r="K35" s="68" t="e">
        <f>IF(AND('Mapa final'!#REF!="Media",'Mapa final'!#REF!="Leve"),CONCATENATE("R10C",'Mapa final'!#REF!),"")</f>
        <v>#REF!</v>
      </c>
      <c r="L35" s="68" t="e">
        <f>IF(AND('Mapa final'!#REF!="Media",'Mapa final'!#REF!="Leve"),CONCATENATE("R10C",'Mapa final'!#REF!),"")</f>
        <v>#REF!</v>
      </c>
      <c r="M35" s="68" t="e">
        <f>IF(AND('Mapa final'!#REF!="Media",'Mapa final'!#REF!="Leve"),CONCATENATE("R10C",'Mapa final'!#REF!),"")</f>
        <v>#REF!</v>
      </c>
      <c r="N35" s="68" t="e">
        <f>IF(AND('Mapa final'!#REF!="Media",'Mapa final'!#REF!="Leve"),CONCATENATE("R10C",'Mapa final'!#REF!),"")</f>
        <v>#REF!</v>
      </c>
      <c r="O35" s="69" t="e">
        <f>IF(AND('Mapa final'!#REF!="Media",'Mapa final'!#REF!="Leve"),CONCATENATE("R10C",'Mapa final'!#REF!),"")</f>
        <v>#REF!</v>
      </c>
      <c r="P35" s="67" t="e">
        <f>IF(AND('Mapa final'!#REF!="Media",'Mapa final'!#REF!="Menor"),CONCATENATE("R10C",'Mapa final'!#REF!),"")</f>
        <v>#REF!</v>
      </c>
      <c r="Q35" s="68" t="e">
        <f>IF(AND('Mapa final'!#REF!="Media",'Mapa final'!#REF!="Menor"),CONCATENATE("R10C",'Mapa final'!#REF!),"")</f>
        <v>#REF!</v>
      </c>
      <c r="R35" s="68" t="e">
        <f>IF(AND('Mapa final'!#REF!="Media",'Mapa final'!#REF!="Menor"),CONCATENATE("R10C",'Mapa final'!#REF!),"")</f>
        <v>#REF!</v>
      </c>
      <c r="S35" s="68" t="e">
        <f>IF(AND('Mapa final'!#REF!="Media",'Mapa final'!#REF!="Menor"),CONCATENATE("R10C",'Mapa final'!#REF!),"")</f>
        <v>#REF!</v>
      </c>
      <c r="T35" s="68" t="e">
        <f>IF(AND('Mapa final'!#REF!="Media",'Mapa final'!#REF!="Menor"),CONCATENATE("R10C",'Mapa final'!#REF!),"")</f>
        <v>#REF!</v>
      </c>
      <c r="U35" s="69" t="e">
        <f>IF(AND('Mapa final'!#REF!="Media",'Mapa final'!#REF!="Menor"),CONCATENATE("R10C",'Mapa final'!#REF!),"")</f>
        <v>#REF!</v>
      </c>
      <c r="V35" s="67" t="e">
        <f>IF(AND('Mapa final'!#REF!="Media",'Mapa final'!#REF!="Moderado"),CONCATENATE("R10C",'Mapa final'!#REF!),"")</f>
        <v>#REF!</v>
      </c>
      <c r="W35" s="68" t="e">
        <f>IF(AND('Mapa final'!#REF!="Media",'Mapa final'!#REF!="Moderado"),CONCATENATE("R10C",'Mapa final'!#REF!),"")</f>
        <v>#REF!</v>
      </c>
      <c r="X35" s="68" t="e">
        <f>IF(AND('Mapa final'!#REF!="Media",'Mapa final'!#REF!="Moderado"),CONCATENATE("R10C",'Mapa final'!#REF!),"")</f>
        <v>#REF!</v>
      </c>
      <c r="Y35" s="68" t="e">
        <f>IF(AND('Mapa final'!#REF!="Media",'Mapa final'!#REF!="Moderado"),CONCATENATE("R10C",'Mapa final'!#REF!),"")</f>
        <v>#REF!</v>
      </c>
      <c r="Z35" s="68" t="e">
        <f>IF(AND('Mapa final'!#REF!="Media",'Mapa final'!#REF!="Moderado"),CONCATENATE("R10C",'Mapa final'!#REF!),"")</f>
        <v>#REF!</v>
      </c>
      <c r="AA35" s="69" t="e">
        <f>IF(AND('Mapa final'!#REF!="Media",'Mapa final'!#REF!="Moderado"),CONCATENATE("R10C",'Mapa final'!#REF!),"")</f>
        <v>#REF!</v>
      </c>
      <c r="AB35" s="58" t="e">
        <f>IF(AND('Mapa final'!#REF!="Media",'Mapa final'!#REF!="Mayor"),CONCATENATE("R10C",'Mapa final'!#REF!),"")</f>
        <v>#REF!</v>
      </c>
      <c r="AC35" s="59" t="e">
        <f>IF(AND('Mapa final'!#REF!="Media",'Mapa final'!#REF!="Mayor"),CONCATENATE("R10C",'Mapa final'!#REF!),"")</f>
        <v>#REF!</v>
      </c>
      <c r="AD35" s="59" t="e">
        <f>IF(AND('Mapa final'!#REF!="Media",'Mapa final'!#REF!="Mayor"),CONCATENATE("R10C",'Mapa final'!#REF!),"")</f>
        <v>#REF!</v>
      </c>
      <c r="AE35" s="59" t="e">
        <f>IF(AND('Mapa final'!#REF!="Media",'Mapa final'!#REF!="Mayor"),CONCATENATE("R10C",'Mapa final'!#REF!),"")</f>
        <v>#REF!</v>
      </c>
      <c r="AF35" s="59" t="e">
        <f>IF(AND('Mapa final'!#REF!="Media",'Mapa final'!#REF!="Mayor"),CONCATENATE("R10C",'Mapa final'!#REF!),"")</f>
        <v>#REF!</v>
      </c>
      <c r="AG35" s="60" t="e">
        <f>IF(AND('Mapa final'!#REF!="Media",'Mapa final'!#REF!="Mayor"),CONCATENATE("R10C",'Mapa final'!#REF!),"")</f>
        <v>#REF!</v>
      </c>
      <c r="AH35" s="61" t="e">
        <f>IF(AND('Mapa final'!#REF!="Media",'Mapa final'!#REF!="Catastrófico"),CONCATENATE("R10C",'Mapa final'!#REF!),"")</f>
        <v>#REF!</v>
      </c>
      <c r="AI35" s="62" t="e">
        <f>IF(AND('Mapa final'!#REF!="Media",'Mapa final'!#REF!="Catastrófico"),CONCATENATE("R10C",'Mapa final'!#REF!),"")</f>
        <v>#REF!</v>
      </c>
      <c r="AJ35" s="62" t="e">
        <f>IF(AND('Mapa final'!#REF!="Media",'Mapa final'!#REF!="Catastrófico"),CONCATENATE("R10C",'Mapa final'!#REF!),"")</f>
        <v>#REF!</v>
      </c>
      <c r="AK35" s="62" t="e">
        <f>IF(AND('Mapa final'!#REF!="Media",'Mapa final'!#REF!="Catastrófico"),CONCATENATE("R10C",'Mapa final'!#REF!),"")</f>
        <v>#REF!</v>
      </c>
      <c r="AL35" s="62" t="e">
        <f>IF(AND('Mapa final'!#REF!="Media",'Mapa final'!#REF!="Catastrófico"),CONCATENATE("R10C",'Mapa final'!#REF!),"")</f>
        <v>#REF!</v>
      </c>
      <c r="AM35" s="63" t="e">
        <f>IF(AND('Mapa final'!#REF!="Media",'Mapa final'!#REF!="Catastrófico"),CONCATENATE("R10C",'Mapa final'!#REF!),"")</f>
        <v>#REF!</v>
      </c>
      <c r="AN35" s="83"/>
      <c r="AO35" s="377"/>
      <c r="AP35" s="378"/>
      <c r="AQ35" s="378"/>
      <c r="AR35" s="378"/>
      <c r="AS35" s="378"/>
      <c r="AT35" s="3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
      <c r="A36" s="83"/>
      <c r="B36" s="246"/>
      <c r="C36" s="246"/>
      <c r="D36" s="247"/>
      <c r="E36" s="341" t="s">
        <v>112</v>
      </c>
      <c r="F36" s="342"/>
      <c r="G36" s="342"/>
      <c r="H36" s="342"/>
      <c r="I36" s="342"/>
      <c r="J36" s="73" t="str">
        <f>IF(AND('Mapa final'!$Y$10="Baja",'Mapa final'!$AA$10="Leve"),CONCATENATE("R1C",'Mapa final'!$O$10),"")</f>
        <v/>
      </c>
      <c r="K36" s="74" t="str">
        <f>IF(AND('Mapa final'!$Y$11="Baja",'Mapa final'!$AA$11="Leve"),CONCATENATE("R1C",'Mapa final'!$O$11),"")</f>
        <v>R1C2</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62" t="s">
        <v>80</v>
      </c>
      <c r="AP36" s="363"/>
      <c r="AQ36" s="363"/>
      <c r="AR36" s="363"/>
      <c r="AS36" s="363"/>
      <c r="AT36" s="36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
      <c r="A37" s="83"/>
      <c r="B37" s="246"/>
      <c r="C37" s="246"/>
      <c r="D37" s="247"/>
      <c r="E37" s="343"/>
      <c r="F37" s="344"/>
      <c r="G37" s="344"/>
      <c r="H37" s="344"/>
      <c r="I37" s="344"/>
      <c r="J37" s="76" t="str">
        <f>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65"/>
      <c r="AP37" s="366"/>
      <c r="AQ37" s="366"/>
      <c r="AR37" s="366"/>
      <c r="AS37" s="366"/>
      <c r="AT37" s="36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
      <c r="A38" s="83"/>
      <c r="B38" s="246"/>
      <c r="C38" s="246"/>
      <c r="D38" s="247"/>
      <c r="E38" s="345"/>
      <c r="F38" s="344"/>
      <c r="G38" s="344"/>
      <c r="H38" s="344"/>
      <c r="I38" s="344"/>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65"/>
      <c r="AP38" s="366"/>
      <c r="AQ38" s="366"/>
      <c r="AR38" s="366"/>
      <c r="AS38" s="366"/>
      <c r="AT38" s="36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
      <c r="A39" s="83"/>
      <c r="B39" s="246"/>
      <c r="C39" s="246"/>
      <c r="D39" s="247"/>
      <c r="E39" s="345"/>
      <c r="F39" s="344"/>
      <c r="G39" s="344"/>
      <c r="H39" s="344"/>
      <c r="I39" s="34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65"/>
      <c r="AP39" s="366"/>
      <c r="AQ39" s="366"/>
      <c r="AR39" s="366"/>
      <c r="AS39" s="366"/>
      <c r="AT39" s="36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
      <c r="A40" s="83"/>
      <c r="B40" s="246"/>
      <c r="C40" s="246"/>
      <c r="D40" s="247"/>
      <c r="E40" s="345"/>
      <c r="F40" s="344"/>
      <c r="G40" s="344"/>
      <c r="H40" s="344"/>
      <c r="I40" s="34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65"/>
      <c r="AP40" s="366"/>
      <c r="AQ40" s="366"/>
      <c r="AR40" s="366"/>
      <c r="AS40" s="366"/>
      <c r="AT40" s="36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
      <c r="A41" s="83"/>
      <c r="B41" s="246"/>
      <c r="C41" s="246"/>
      <c r="D41" s="247"/>
      <c r="E41" s="345"/>
      <c r="F41" s="344"/>
      <c r="G41" s="344"/>
      <c r="H41" s="344"/>
      <c r="I41" s="34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R6C2</v>
      </c>
      <c r="X41" s="68" t="str">
        <f>IF(AND('Mapa final'!$Y$42="Baja",'Mapa final'!$AA$42="Moderado"),CONCATENATE("R6C",'Mapa final'!$O$42),"")</f>
        <v>R6C3</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R6C1</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65"/>
      <c r="AP41" s="366"/>
      <c r="AQ41" s="366"/>
      <c r="AR41" s="366"/>
      <c r="AS41" s="366"/>
      <c r="AT41" s="36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
      <c r="A42" s="83"/>
      <c r="B42" s="246"/>
      <c r="C42" s="246"/>
      <c r="D42" s="247"/>
      <c r="E42" s="345"/>
      <c r="F42" s="344"/>
      <c r="G42" s="344"/>
      <c r="H42" s="344"/>
      <c r="I42" s="34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65"/>
      <c r="AP42" s="366"/>
      <c r="AQ42" s="366"/>
      <c r="AR42" s="366"/>
      <c r="AS42" s="366"/>
      <c r="AT42" s="36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
      <c r="A43" s="83"/>
      <c r="B43" s="246"/>
      <c r="C43" s="246"/>
      <c r="D43" s="247"/>
      <c r="E43" s="345"/>
      <c r="F43" s="344"/>
      <c r="G43" s="344"/>
      <c r="H43" s="344"/>
      <c r="I43" s="344"/>
      <c r="J43" s="76" t="str">
        <f>IF(AND('Mapa final'!$Y$58="Baja",'Mapa final'!$AA$58="Leve"),CONCATENATE("R8C",'Mapa final'!$O$58),"")</f>
        <v/>
      </c>
      <c r="K43" s="77" t="str">
        <f>IF(AND('Mapa final'!$Y$59="Baja",'Mapa final'!$AA$59="Leve"),CONCATENATE("R8C",'Mapa final'!$O$59),"")</f>
        <v/>
      </c>
      <c r="L43" s="77" t="str">
        <f>IF(AND('Mapa final'!$Y$60="Baja",'Mapa final'!$AA$60="Leve"),CONCATENATE("R8C",'Mapa final'!$O$60),"")</f>
        <v/>
      </c>
      <c r="M43" s="77" t="str">
        <f>IF(AND('Mapa final'!$Y$61="Baja",'Mapa final'!$AA$61="Leve"),CONCATENATE("R8C",'Mapa final'!$O$61),"")</f>
        <v/>
      </c>
      <c r="N43" s="77" t="str">
        <f>IF(AND('Mapa final'!$Y$62="Baja",'Mapa final'!$AA$62="Leve"),CONCATENATE("R8C",'Mapa final'!$O$62),"")</f>
        <v/>
      </c>
      <c r="O43" s="78" t="str">
        <f>IF(AND('Mapa final'!$Y$63="Baja",'Mapa final'!$AA$63="Leve"),CONCATENATE("R8C",'Mapa final'!$O$63),"")</f>
        <v/>
      </c>
      <c r="P43" s="67" t="str">
        <f>IF(AND('Mapa final'!$Y$58="Baja",'Mapa final'!$AA$58="Menor"),CONCATENATE("R8C",'Mapa final'!$O$58),"")</f>
        <v/>
      </c>
      <c r="Q43" s="68" t="str">
        <f>IF(AND('Mapa final'!$Y$59="Baja",'Mapa final'!$AA$59="Menor"),CONCATENATE("R8C",'Mapa final'!$O$59),"")</f>
        <v/>
      </c>
      <c r="R43" s="68" t="str">
        <f>IF(AND('Mapa final'!$Y$60="Baja",'Mapa final'!$AA$60="Menor"),CONCATENATE("R8C",'Mapa final'!$O$60),"")</f>
        <v/>
      </c>
      <c r="S43" s="68" t="str">
        <f>IF(AND('Mapa final'!$Y$61="Baja",'Mapa final'!$AA$61="Menor"),CONCATENATE("R8C",'Mapa final'!$O$61),"")</f>
        <v/>
      </c>
      <c r="T43" s="68" t="str">
        <f>IF(AND('Mapa final'!$Y$62="Baja",'Mapa final'!$AA$62="Menor"),CONCATENATE("R8C",'Mapa final'!$O$62),"")</f>
        <v/>
      </c>
      <c r="U43" s="69" t="str">
        <f>IF(AND('Mapa final'!$Y$63="Baja",'Mapa final'!$AA$63="Menor"),CONCATENATE("R8C",'Mapa final'!$O$63),"")</f>
        <v/>
      </c>
      <c r="V43" s="67" t="str">
        <f>IF(AND('Mapa final'!$Y$58="Baja",'Mapa final'!$AA$58="Moderado"),CONCATENATE("R8C",'Mapa final'!$O$58),"")</f>
        <v/>
      </c>
      <c r="W43" s="68" t="str">
        <f>IF(AND('Mapa final'!$Y$59="Baja",'Mapa final'!$AA$59="Moderado"),CONCATENATE("R8C",'Mapa final'!$O$59),"")</f>
        <v/>
      </c>
      <c r="X43" s="68" t="str">
        <f>IF(AND('Mapa final'!$Y$60="Baja",'Mapa final'!$AA$60="Moderado"),CONCATENATE("R8C",'Mapa final'!$O$60),"")</f>
        <v/>
      </c>
      <c r="Y43" s="68" t="str">
        <f>IF(AND('Mapa final'!$Y$61="Baja",'Mapa final'!$AA$61="Moderado"),CONCATENATE("R8C",'Mapa final'!$O$61),"")</f>
        <v/>
      </c>
      <c r="Z43" s="68" t="str">
        <f>IF(AND('Mapa final'!$Y$62="Baja",'Mapa final'!$AA$62="Moderado"),CONCATENATE("R8C",'Mapa final'!$O$62),"")</f>
        <v/>
      </c>
      <c r="AA43" s="69" t="str">
        <f>IF(AND('Mapa final'!$Y$63="Baja",'Mapa final'!$AA$63="Moderado"),CONCATENATE("R8C",'Mapa final'!$O$63),"")</f>
        <v/>
      </c>
      <c r="AB43" s="52" t="str">
        <f>IF(AND('Mapa final'!$Y$58="Baja",'Mapa final'!$AA$58="Mayor"),CONCATENATE("R8C",'Mapa final'!$O$58),"")</f>
        <v/>
      </c>
      <c r="AC43" s="53" t="str">
        <f>IF(AND('Mapa final'!$Y$59="Baja",'Mapa final'!$AA$59="Mayor"),CONCATENATE("R8C",'Mapa final'!$O$59),"")</f>
        <v/>
      </c>
      <c r="AD43" s="53" t="str">
        <f>IF(AND('Mapa final'!$Y$60="Baja",'Mapa final'!$AA$60="Mayor"),CONCATENATE("R8C",'Mapa final'!$O$60),"")</f>
        <v/>
      </c>
      <c r="AE43" s="53" t="str">
        <f>IF(AND('Mapa final'!$Y$61="Baja",'Mapa final'!$AA$61="Mayor"),CONCATENATE("R8C",'Mapa final'!$O$61),"")</f>
        <v/>
      </c>
      <c r="AF43" s="53" t="str">
        <f>IF(AND('Mapa final'!$Y$62="Baja",'Mapa final'!$AA$62="Mayor"),CONCATENATE("R8C",'Mapa final'!$O$62),"")</f>
        <v/>
      </c>
      <c r="AG43" s="54" t="str">
        <f>IF(AND('Mapa final'!$Y$63="Baja",'Mapa final'!$AA$63="Mayor"),CONCATENATE("R8C",'Mapa final'!$O$63),"")</f>
        <v/>
      </c>
      <c r="AH43" s="55" t="str">
        <f>IF(AND('Mapa final'!$Y$58="Baja",'Mapa final'!$AA$58="Catastrófico"),CONCATENATE("R8C",'Mapa final'!$O$58),"")</f>
        <v/>
      </c>
      <c r="AI43" s="56" t="str">
        <f>IF(AND('Mapa final'!$Y$59="Baja",'Mapa final'!$AA$59="Catastrófico"),CONCATENATE("R8C",'Mapa final'!$O$59),"")</f>
        <v/>
      </c>
      <c r="AJ43" s="56" t="str">
        <f>IF(AND('Mapa final'!$Y$60="Baja",'Mapa final'!$AA$60="Catastrófico"),CONCATENATE("R8C",'Mapa final'!$O$60),"")</f>
        <v/>
      </c>
      <c r="AK43" s="56" t="str">
        <f>IF(AND('Mapa final'!$Y$61="Baja",'Mapa final'!$AA$61="Catastrófico"),CONCATENATE("R8C",'Mapa final'!$O$61),"")</f>
        <v/>
      </c>
      <c r="AL43" s="56" t="str">
        <f>IF(AND('Mapa final'!$Y$62="Baja",'Mapa final'!$AA$62="Catastrófico"),CONCATENATE("R8C",'Mapa final'!$O$62),"")</f>
        <v/>
      </c>
      <c r="AM43" s="57" t="str">
        <f>IF(AND('Mapa final'!$Y$63="Baja",'Mapa final'!$AA$63="Catastrófico"),CONCATENATE("R8C",'Mapa final'!$O$63),"")</f>
        <v/>
      </c>
      <c r="AN43" s="83"/>
      <c r="AO43" s="365"/>
      <c r="AP43" s="366"/>
      <c r="AQ43" s="366"/>
      <c r="AR43" s="366"/>
      <c r="AS43" s="366"/>
      <c r="AT43" s="36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
      <c r="A44" s="83"/>
      <c r="B44" s="246"/>
      <c r="C44" s="246"/>
      <c r="D44" s="247"/>
      <c r="E44" s="345"/>
      <c r="F44" s="344"/>
      <c r="G44" s="344"/>
      <c r="H44" s="344"/>
      <c r="I44" s="344"/>
      <c r="J44" s="76" t="str">
        <f>IF(AND('Mapa final'!$Y$64="Baja",'Mapa final'!$AA$64="Leve"),CONCATENATE("R9C",'Mapa final'!$O$64),"")</f>
        <v/>
      </c>
      <c r="K44" s="77" t="str">
        <f>IF(AND('Mapa final'!$Y$65="Baja",'Mapa final'!$AA$65="Leve"),CONCATENATE("R9C",'Mapa final'!$O$65),"")</f>
        <v/>
      </c>
      <c r="L44" s="77" t="str">
        <f>IF(AND('Mapa final'!$Y$66="Baja",'Mapa final'!$AA$66="Leve"),CONCATENATE("R9C",'Mapa final'!$O$66),"")</f>
        <v/>
      </c>
      <c r="M44" s="77" t="str">
        <f>IF(AND('Mapa final'!$Y$67="Baja",'Mapa final'!$AA$67="Leve"),CONCATENATE("R9C",'Mapa final'!$O$67),"")</f>
        <v/>
      </c>
      <c r="N44" s="77" t="str">
        <f>IF(AND('Mapa final'!$Y$68="Baja",'Mapa final'!$AA$68="Leve"),CONCATENATE("R9C",'Mapa final'!$O$68),"")</f>
        <v/>
      </c>
      <c r="O44" s="78" t="str">
        <f>IF(AND('Mapa final'!$Y$69="Baja",'Mapa final'!$AA$69="Leve"),CONCATENATE("R9C",'Mapa final'!$O$69),"")</f>
        <v/>
      </c>
      <c r="P44" s="67" t="str">
        <f>IF(AND('Mapa final'!$Y$64="Baja",'Mapa final'!$AA$64="Menor"),CONCATENATE("R9C",'Mapa final'!$O$64),"")</f>
        <v/>
      </c>
      <c r="Q44" s="68" t="str">
        <f>IF(AND('Mapa final'!$Y$65="Baja",'Mapa final'!$AA$65="Menor"),CONCATENATE("R9C",'Mapa final'!$O$65),"")</f>
        <v/>
      </c>
      <c r="R44" s="68" t="str">
        <f>IF(AND('Mapa final'!$Y$66="Baja",'Mapa final'!$AA$66="Menor"),CONCATENATE("R9C",'Mapa final'!$O$66),"")</f>
        <v/>
      </c>
      <c r="S44" s="68" t="str">
        <f>IF(AND('Mapa final'!$Y$67="Baja",'Mapa final'!$AA$67="Menor"),CONCATENATE("R9C",'Mapa final'!$O$67),"")</f>
        <v/>
      </c>
      <c r="T44" s="68" t="str">
        <f>IF(AND('Mapa final'!$Y$68="Baja",'Mapa final'!$AA$68="Menor"),CONCATENATE("R9C",'Mapa final'!$O$68),"")</f>
        <v/>
      </c>
      <c r="U44" s="69" t="str">
        <f>IF(AND('Mapa final'!$Y$69="Baja",'Mapa final'!$AA$69="Menor"),CONCATENATE("R9C",'Mapa final'!$O$69),"")</f>
        <v/>
      </c>
      <c r="V44" s="67" t="str">
        <f>IF(AND('Mapa final'!$Y$64="Baja",'Mapa final'!$AA$64="Moderado"),CONCATENATE("R9C",'Mapa final'!$O$64),"")</f>
        <v/>
      </c>
      <c r="W44" s="68" t="str">
        <f>IF(AND('Mapa final'!$Y$65="Baja",'Mapa final'!$AA$65="Moderado"),CONCATENATE("R9C",'Mapa final'!$O$65),"")</f>
        <v/>
      </c>
      <c r="X44" s="68" t="str">
        <f>IF(AND('Mapa final'!$Y$66="Baja",'Mapa final'!$AA$66="Moderado"),CONCATENATE("R9C",'Mapa final'!$O$66),"")</f>
        <v/>
      </c>
      <c r="Y44" s="68" t="str">
        <f>IF(AND('Mapa final'!$Y$67="Baja",'Mapa final'!$AA$67="Moderado"),CONCATENATE("R9C",'Mapa final'!$O$67),"")</f>
        <v/>
      </c>
      <c r="Z44" s="68" t="str">
        <f>IF(AND('Mapa final'!$Y$68="Baja",'Mapa final'!$AA$68="Moderado"),CONCATENATE("R9C",'Mapa final'!$O$68),"")</f>
        <v/>
      </c>
      <c r="AA44" s="69" t="str">
        <f>IF(AND('Mapa final'!$Y$69="Baja",'Mapa final'!$AA$69="Moderado"),CONCATENATE("R9C",'Mapa final'!$O$69),"")</f>
        <v/>
      </c>
      <c r="AB44" s="52" t="str">
        <f>IF(AND('Mapa final'!$Y$64="Baja",'Mapa final'!$AA$64="Mayor"),CONCATENATE("R9C",'Mapa final'!$O$64),"")</f>
        <v/>
      </c>
      <c r="AC44" s="53" t="str">
        <f>IF(AND('Mapa final'!$Y$65="Baja",'Mapa final'!$AA$65="Mayor"),CONCATENATE("R9C",'Mapa final'!$O$65),"")</f>
        <v/>
      </c>
      <c r="AD44" s="53" t="str">
        <f>IF(AND('Mapa final'!$Y$66="Baja",'Mapa final'!$AA$66="Mayor"),CONCATENATE("R9C",'Mapa final'!$O$66),"")</f>
        <v/>
      </c>
      <c r="AE44" s="53" t="str">
        <f>IF(AND('Mapa final'!$Y$67="Baja",'Mapa final'!$AA$67="Mayor"),CONCATENATE("R9C",'Mapa final'!$O$67),"")</f>
        <v/>
      </c>
      <c r="AF44" s="53" t="str">
        <f>IF(AND('Mapa final'!$Y$68="Baja",'Mapa final'!$AA$68="Mayor"),CONCATENATE("R9C",'Mapa final'!$O$68),"")</f>
        <v/>
      </c>
      <c r="AG44" s="54" t="str">
        <f>IF(AND('Mapa final'!$Y$69="Baja",'Mapa final'!$AA$69="Mayor"),CONCATENATE("R9C",'Mapa final'!$O$69),"")</f>
        <v/>
      </c>
      <c r="AH44" s="55" t="str">
        <f>IF(AND('Mapa final'!$Y$64="Baja",'Mapa final'!$AA$64="Catastrófico"),CONCATENATE("R9C",'Mapa final'!$O$64),"")</f>
        <v/>
      </c>
      <c r="AI44" s="56" t="str">
        <f>IF(AND('Mapa final'!$Y$65="Baja",'Mapa final'!$AA$65="Catastrófico"),CONCATENATE("R9C",'Mapa final'!$O$65),"")</f>
        <v/>
      </c>
      <c r="AJ44" s="56" t="str">
        <f>IF(AND('Mapa final'!$Y$66="Baja",'Mapa final'!$AA$66="Catastrófico"),CONCATENATE("R9C",'Mapa final'!$O$66),"")</f>
        <v/>
      </c>
      <c r="AK44" s="56" t="str">
        <f>IF(AND('Mapa final'!$Y$67="Baja",'Mapa final'!$AA$67="Catastrófico"),CONCATENATE("R9C",'Mapa final'!$O$67),"")</f>
        <v/>
      </c>
      <c r="AL44" s="56" t="str">
        <f>IF(AND('Mapa final'!$Y$68="Baja",'Mapa final'!$AA$68="Catastrófico"),CONCATENATE("R9C",'Mapa final'!$O$68),"")</f>
        <v/>
      </c>
      <c r="AM44" s="57" t="str">
        <f>IF(AND('Mapa final'!$Y$69="Baja",'Mapa final'!$AA$69="Catastrófico"),CONCATENATE("R9C",'Mapa final'!$O$69),"")</f>
        <v/>
      </c>
      <c r="AN44" s="83"/>
      <c r="AO44" s="365"/>
      <c r="AP44" s="366"/>
      <c r="AQ44" s="366"/>
      <c r="AR44" s="366"/>
      <c r="AS44" s="366"/>
      <c r="AT44" s="36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25">
      <c r="A45" s="83"/>
      <c r="B45" s="246"/>
      <c r="C45" s="246"/>
      <c r="D45" s="247"/>
      <c r="E45" s="346"/>
      <c r="F45" s="347"/>
      <c r="G45" s="347"/>
      <c r="H45" s="347"/>
      <c r="I45" s="347"/>
      <c r="J45" s="79" t="e">
        <f>IF(AND('Mapa final'!#REF!="Baja",'Mapa final'!#REF!="Leve"),CONCATENATE("R10C",'Mapa final'!#REF!),"")</f>
        <v>#REF!</v>
      </c>
      <c r="K45" s="80" t="e">
        <f>IF(AND('Mapa final'!#REF!="Baja",'Mapa final'!#REF!="Leve"),CONCATENATE("R10C",'Mapa final'!#REF!),"")</f>
        <v>#REF!</v>
      </c>
      <c r="L45" s="80" t="e">
        <f>IF(AND('Mapa final'!#REF!="Baja",'Mapa final'!#REF!="Leve"),CONCATENATE("R10C",'Mapa final'!#REF!),"")</f>
        <v>#REF!</v>
      </c>
      <c r="M45" s="80" t="e">
        <f>IF(AND('Mapa final'!#REF!="Baja",'Mapa final'!#REF!="Leve"),CONCATENATE("R10C",'Mapa final'!#REF!),"")</f>
        <v>#REF!</v>
      </c>
      <c r="N45" s="80" t="e">
        <f>IF(AND('Mapa final'!#REF!="Baja",'Mapa final'!#REF!="Leve"),CONCATENATE("R10C",'Mapa final'!#REF!),"")</f>
        <v>#REF!</v>
      </c>
      <c r="O45" s="81" t="e">
        <f>IF(AND('Mapa final'!#REF!="Baja",'Mapa final'!#REF!="Leve"),CONCATENATE("R10C",'Mapa final'!#REF!),"")</f>
        <v>#REF!</v>
      </c>
      <c r="P45" s="67" t="e">
        <f>IF(AND('Mapa final'!#REF!="Baja",'Mapa final'!#REF!="Menor"),CONCATENATE("R10C",'Mapa final'!#REF!),"")</f>
        <v>#REF!</v>
      </c>
      <c r="Q45" s="68" t="e">
        <f>IF(AND('Mapa final'!#REF!="Baja",'Mapa final'!#REF!="Menor"),CONCATENATE("R10C",'Mapa final'!#REF!),"")</f>
        <v>#REF!</v>
      </c>
      <c r="R45" s="68" t="e">
        <f>IF(AND('Mapa final'!#REF!="Baja",'Mapa final'!#REF!="Menor"),CONCATENATE("R10C",'Mapa final'!#REF!),"")</f>
        <v>#REF!</v>
      </c>
      <c r="S45" s="68" t="e">
        <f>IF(AND('Mapa final'!#REF!="Baja",'Mapa final'!#REF!="Menor"),CONCATENATE("R10C",'Mapa final'!#REF!),"")</f>
        <v>#REF!</v>
      </c>
      <c r="T45" s="68" t="e">
        <f>IF(AND('Mapa final'!#REF!="Baja",'Mapa final'!#REF!="Menor"),CONCATENATE("R10C",'Mapa final'!#REF!),"")</f>
        <v>#REF!</v>
      </c>
      <c r="U45" s="69" t="e">
        <f>IF(AND('Mapa final'!#REF!="Baja",'Mapa final'!#REF!="Menor"),CONCATENATE("R10C",'Mapa final'!#REF!),"")</f>
        <v>#REF!</v>
      </c>
      <c r="V45" s="70" t="e">
        <f>IF(AND('Mapa final'!#REF!="Baja",'Mapa final'!#REF!="Moderado"),CONCATENATE("R10C",'Mapa final'!#REF!),"")</f>
        <v>#REF!</v>
      </c>
      <c r="W45" s="71" t="e">
        <f>IF(AND('Mapa final'!#REF!="Baja",'Mapa final'!#REF!="Moderado"),CONCATENATE("R10C",'Mapa final'!#REF!),"")</f>
        <v>#REF!</v>
      </c>
      <c r="X45" s="71" t="e">
        <f>IF(AND('Mapa final'!#REF!="Baja",'Mapa final'!#REF!="Moderado"),CONCATENATE("R10C",'Mapa final'!#REF!),"")</f>
        <v>#REF!</v>
      </c>
      <c r="Y45" s="71" t="e">
        <f>IF(AND('Mapa final'!#REF!="Baja",'Mapa final'!#REF!="Moderado"),CONCATENATE("R10C",'Mapa final'!#REF!),"")</f>
        <v>#REF!</v>
      </c>
      <c r="Z45" s="71" t="e">
        <f>IF(AND('Mapa final'!#REF!="Baja",'Mapa final'!#REF!="Moderado"),CONCATENATE("R10C",'Mapa final'!#REF!),"")</f>
        <v>#REF!</v>
      </c>
      <c r="AA45" s="72" t="e">
        <f>IF(AND('Mapa final'!#REF!="Baja",'Mapa final'!#REF!="Moderado"),CONCATENATE("R10C",'Mapa final'!#REF!),"")</f>
        <v>#REF!</v>
      </c>
      <c r="AB45" s="58" t="e">
        <f>IF(AND('Mapa final'!#REF!="Baja",'Mapa final'!#REF!="Mayor"),CONCATENATE("R10C",'Mapa final'!#REF!),"")</f>
        <v>#REF!</v>
      </c>
      <c r="AC45" s="59" t="e">
        <f>IF(AND('Mapa final'!#REF!="Baja",'Mapa final'!#REF!="Mayor"),CONCATENATE("R10C",'Mapa final'!#REF!),"")</f>
        <v>#REF!</v>
      </c>
      <c r="AD45" s="59" t="e">
        <f>IF(AND('Mapa final'!#REF!="Baja",'Mapa final'!#REF!="Mayor"),CONCATENATE("R10C",'Mapa final'!#REF!),"")</f>
        <v>#REF!</v>
      </c>
      <c r="AE45" s="59" t="e">
        <f>IF(AND('Mapa final'!#REF!="Baja",'Mapa final'!#REF!="Mayor"),CONCATENATE("R10C",'Mapa final'!#REF!),"")</f>
        <v>#REF!</v>
      </c>
      <c r="AF45" s="59" t="e">
        <f>IF(AND('Mapa final'!#REF!="Baja",'Mapa final'!#REF!="Mayor"),CONCATENATE("R10C",'Mapa final'!#REF!),"")</f>
        <v>#REF!</v>
      </c>
      <c r="AG45" s="60" t="e">
        <f>IF(AND('Mapa final'!#REF!="Baja",'Mapa final'!#REF!="Mayor"),CONCATENATE("R10C",'Mapa final'!#REF!),"")</f>
        <v>#REF!</v>
      </c>
      <c r="AH45" s="61" t="e">
        <f>IF(AND('Mapa final'!#REF!="Baja",'Mapa final'!#REF!="Catastrófico"),CONCATENATE("R10C",'Mapa final'!#REF!),"")</f>
        <v>#REF!</v>
      </c>
      <c r="AI45" s="62" t="e">
        <f>IF(AND('Mapa final'!#REF!="Baja",'Mapa final'!#REF!="Catastrófico"),CONCATENATE("R10C",'Mapa final'!#REF!),"")</f>
        <v>#REF!</v>
      </c>
      <c r="AJ45" s="62" t="e">
        <f>IF(AND('Mapa final'!#REF!="Baja",'Mapa final'!#REF!="Catastrófico"),CONCATENATE("R10C",'Mapa final'!#REF!),"")</f>
        <v>#REF!</v>
      </c>
      <c r="AK45" s="62" t="e">
        <f>IF(AND('Mapa final'!#REF!="Baja",'Mapa final'!#REF!="Catastrófico"),CONCATENATE("R10C",'Mapa final'!#REF!),"")</f>
        <v>#REF!</v>
      </c>
      <c r="AL45" s="62" t="e">
        <f>IF(AND('Mapa final'!#REF!="Baja",'Mapa final'!#REF!="Catastrófico"),CONCATENATE("R10C",'Mapa final'!#REF!),"")</f>
        <v>#REF!</v>
      </c>
      <c r="AM45" s="63" t="e">
        <f>IF(AND('Mapa final'!#REF!="Baja",'Mapa final'!#REF!="Catastrófico"),CONCATENATE("R10C",'Mapa final'!#REF!),"")</f>
        <v>#REF!</v>
      </c>
      <c r="AN45" s="83"/>
      <c r="AO45" s="368"/>
      <c r="AP45" s="369"/>
      <c r="AQ45" s="369"/>
      <c r="AR45" s="369"/>
      <c r="AS45" s="369"/>
      <c r="AT45" s="370"/>
    </row>
    <row r="46" spans="1:80" ht="46.5" customHeight="1" x14ac:dyDescent="0.3">
      <c r="A46" s="83"/>
      <c r="B46" s="246"/>
      <c r="C46" s="246"/>
      <c r="D46" s="247"/>
      <c r="E46" s="341" t="s">
        <v>111</v>
      </c>
      <c r="F46" s="342"/>
      <c r="G46" s="342"/>
      <c r="H46" s="342"/>
      <c r="I46" s="359"/>
      <c r="J46" s="73" t="str">
        <f>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
      <c r="A47" s="83"/>
      <c r="B47" s="246"/>
      <c r="C47" s="246"/>
      <c r="D47" s="247"/>
      <c r="E47" s="343"/>
      <c r="F47" s="344"/>
      <c r="G47" s="344"/>
      <c r="H47" s="344"/>
      <c r="I47" s="360"/>
      <c r="J47" s="76" t="str">
        <f>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
      <c r="A48" s="83"/>
      <c r="B48" s="246"/>
      <c r="C48" s="246"/>
      <c r="D48" s="247"/>
      <c r="E48" s="343"/>
      <c r="F48" s="344"/>
      <c r="G48" s="344"/>
      <c r="H48" s="344"/>
      <c r="I48" s="36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R3C1</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
      <c r="A49" s="83"/>
      <c r="B49" s="246"/>
      <c r="C49" s="246"/>
      <c r="D49" s="247"/>
      <c r="E49" s="345"/>
      <c r="F49" s="344"/>
      <c r="G49" s="344"/>
      <c r="H49" s="344"/>
      <c r="I49" s="360"/>
      <c r="J49" s="76" t="str">
        <f>IF(AND('Mapa final'!$Y$28="Muy Baja",'Mapa final'!$AA$28="Leve"),CONCATENATE("R4C",'Mapa final'!$O$28),"")</f>
        <v>R4C1</v>
      </c>
      <c r="K49" s="77" t="str">
        <f>IF(AND('Mapa final'!$Y$29="Muy Baja",'Mapa final'!$AA$29="Leve"),CONCATENATE("R4C",'Mapa final'!$O$29),"")</f>
        <v>R4C2</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
      <c r="A50" s="83"/>
      <c r="B50" s="246"/>
      <c r="C50" s="246"/>
      <c r="D50" s="247"/>
      <c r="E50" s="345"/>
      <c r="F50" s="344"/>
      <c r="G50" s="344"/>
      <c r="H50" s="344"/>
      <c r="I50" s="36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
      <c r="A51" s="83"/>
      <c r="B51" s="246"/>
      <c r="C51" s="246"/>
      <c r="D51" s="247"/>
      <c r="E51" s="345"/>
      <c r="F51" s="344"/>
      <c r="G51" s="344"/>
      <c r="H51" s="344"/>
      <c r="I51" s="36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
      <c r="A52" s="83"/>
      <c r="B52" s="246"/>
      <c r="C52" s="246"/>
      <c r="D52" s="247"/>
      <c r="E52" s="345"/>
      <c r="F52" s="344"/>
      <c r="G52" s="344"/>
      <c r="H52" s="344"/>
      <c r="I52" s="36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
      <c r="A53" s="83"/>
      <c r="B53" s="246"/>
      <c r="C53" s="246"/>
      <c r="D53" s="247"/>
      <c r="E53" s="345"/>
      <c r="F53" s="344"/>
      <c r="G53" s="344"/>
      <c r="H53" s="344"/>
      <c r="I53" s="360"/>
      <c r="J53" s="76" t="str">
        <f>IF(AND('Mapa final'!$Y$58="Muy Baja",'Mapa final'!$AA$58="Leve"),CONCATENATE("R8C",'Mapa final'!$O$58),"")</f>
        <v/>
      </c>
      <c r="K53" s="77" t="str">
        <f>IF(AND('Mapa final'!$Y$59="Muy Baja",'Mapa final'!$AA$59="Leve"),CONCATENATE("R8C",'Mapa final'!$O$59),"")</f>
        <v/>
      </c>
      <c r="L53" s="77" t="str">
        <f>IF(AND('Mapa final'!$Y$60="Muy Baja",'Mapa final'!$AA$60="Leve"),CONCATENATE("R8C",'Mapa final'!$O$60),"")</f>
        <v/>
      </c>
      <c r="M53" s="77" t="str">
        <f>IF(AND('Mapa final'!$Y$61="Muy Baja",'Mapa final'!$AA$61="Leve"),CONCATENATE("R8C",'Mapa final'!$O$61),"")</f>
        <v/>
      </c>
      <c r="N53" s="77" t="str">
        <f>IF(AND('Mapa final'!$Y$62="Muy Baja",'Mapa final'!$AA$62="Leve"),CONCATENATE("R8C",'Mapa final'!$O$62),"")</f>
        <v/>
      </c>
      <c r="O53" s="78" t="str">
        <f>IF(AND('Mapa final'!$Y$63="Muy Baja",'Mapa final'!$AA$63="Leve"),CONCATENATE("R8C",'Mapa final'!$O$63),"")</f>
        <v/>
      </c>
      <c r="P53" s="76" t="str">
        <f>IF(AND('Mapa final'!$Y$58="Muy Baja",'Mapa final'!$AA$58="Menor"),CONCATENATE("R8C",'Mapa final'!$O$58),"")</f>
        <v/>
      </c>
      <c r="Q53" s="77" t="str">
        <f>IF(AND('Mapa final'!$Y$59="Muy Baja",'Mapa final'!$AA$59="Menor"),CONCATENATE("R8C",'Mapa final'!$O$59),"")</f>
        <v/>
      </c>
      <c r="R53" s="77" t="str">
        <f>IF(AND('Mapa final'!$Y$60="Muy Baja",'Mapa final'!$AA$60="Menor"),CONCATENATE("R8C",'Mapa final'!$O$60),"")</f>
        <v/>
      </c>
      <c r="S53" s="77" t="str">
        <f>IF(AND('Mapa final'!$Y$61="Muy Baja",'Mapa final'!$AA$61="Menor"),CONCATENATE("R8C",'Mapa final'!$O$61),"")</f>
        <v/>
      </c>
      <c r="T53" s="77" t="str">
        <f>IF(AND('Mapa final'!$Y$62="Muy Baja",'Mapa final'!$AA$62="Menor"),CONCATENATE("R8C",'Mapa final'!$O$62),"")</f>
        <v/>
      </c>
      <c r="U53" s="78" t="str">
        <f>IF(AND('Mapa final'!$Y$63="Muy Baja",'Mapa final'!$AA$63="Menor"),CONCATENATE("R8C",'Mapa final'!$O$63),"")</f>
        <v/>
      </c>
      <c r="V53" s="67" t="str">
        <f>IF(AND('Mapa final'!$Y$58="Muy Baja",'Mapa final'!$AA$58="Moderado"),CONCATENATE("R8C",'Mapa final'!$O$58),"")</f>
        <v/>
      </c>
      <c r="W53" s="68" t="str">
        <f>IF(AND('Mapa final'!$Y$59="Muy Baja",'Mapa final'!$AA$59="Moderado"),CONCATENATE("R8C",'Mapa final'!$O$59),"")</f>
        <v/>
      </c>
      <c r="X53" s="68" t="str">
        <f>IF(AND('Mapa final'!$Y$60="Muy Baja",'Mapa final'!$AA$60="Moderado"),CONCATENATE("R8C",'Mapa final'!$O$60),"")</f>
        <v/>
      </c>
      <c r="Y53" s="68" t="str">
        <f>IF(AND('Mapa final'!$Y$61="Muy Baja",'Mapa final'!$AA$61="Moderado"),CONCATENATE("R8C",'Mapa final'!$O$61),"")</f>
        <v/>
      </c>
      <c r="Z53" s="68" t="str">
        <f>IF(AND('Mapa final'!$Y$62="Muy Baja",'Mapa final'!$AA$62="Moderado"),CONCATENATE("R8C",'Mapa final'!$O$62),"")</f>
        <v/>
      </c>
      <c r="AA53" s="69" t="str">
        <f>IF(AND('Mapa final'!$Y$63="Muy Baja",'Mapa final'!$AA$63="Moderado"),CONCATENATE("R8C",'Mapa final'!$O$63),"")</f>
        <v/>
      </c>
      <c r="AB53" s="52" t="str">
        <f>IF(AND('Mapa final'!$Y$58="Muy Baja",'Mapa final'!$AA$58="Mayor"),CONCATENATE("R8C",'Mapa final'!$O$58),"")</f>
        <v/>
      </c>
      <c r="AC53" s="53" t="str">
        <f>IF(AND('Mapa final'!$Y$59="Muy Baja",'Mapa final'!$AA$59="Mayor"),CONCATENATE("R8C",'Mapa final'!$O$59),"")</f>
        <v/>
      </c>
      <c r="AD53" s="53" t="str">
        <f>IF(AND('Mapa final'!$Y$60="Muy Baja",'Mapa final'!$AA$60="Mayor"),CONCATENATE("R8C",'Mapa final'!$O$60),"")</f>
        <v/>
      </c>
      <c r="AE53" s="53" t="str">
        <f>IF(AND('Mapa final'!$Y$61="Muy Baja",'Mapa final'!$AA$61="Mayor"),CONCATENATE("R8C",'Mapa final'!$O$61),"")</f>
        <v/>
      </c>
      <c r="AF53" s="53" t="str">
        <f>IF(AND('Mapa final'!$Y$62="Muy Baja",'Mapa final'!$AA$62="Mayor"),CONCATENATE("R8C",'Mapa final'!$O$62),"")</f>
        <v/>
      </c>
      <c r="AG53" s="54" t="str">
        <f>IF(AND('Mapa final'!$Y$63="Muy Baja",'Mapa final'!$AA$63="Mayor"),CONCATENATE("R8C",'Mapa final'!$O$63),"")</f>
        <v/>
      </c>
      <c r="AH53" s="55" t="str">
        <f>IF(AND('Mapa final'!$Y$58="Muy Baja",'Mapa final'!$AA$58="Catastrófico"),CONCATENATE("R8C",'Mapa final'!$O$58),"")</f>
        <v/>
      </c>
      <c r="AI53" s="56" t="str">
        <f>IF(AND('Mapa final'!$Y$59="Muy Baja",'Mapa final'!$AA$59="Catastrófico"),CONCATENATE("R8C",'Mapa final'!$O$59),"")</f>
        <v/>
      </c>
      <c r="AJ53" s="56" t="str">
        <f>IF(AND('Mapa final'!$Y$60="Muy Baja",'Mapa final'!$AA$60="Catastrófico"),CONCATENATE("R8C",'Mapa final'!$O$60),"")</f>
        <v/>
      </c>
      <c r="AK53" s="56" t="str">
        <f>IF(AND('Mapa final'!$Y$61="Muy Baja",'Mapa final'!$AA$61="Catastrófico"),CONCATENATE("R8C",'Mapa final'!$O$61),"")</f>
        <v/>
      </c>
      <c r="AL53" s="56" t="str">
        <f>IF(AND('Mapa final'!$Y$62="Muy Baja",'Mapa final'!$AA$62="Catastrófico"),CONCATENATE("R8C",'Mapa final'!$O$62),"")</f>
        <v/>
      </c>
      <c r="AM53" s="57" t="str">
        <f>IF(AND('Mapa final'!$Y$63="Muy Baja",'Mapa final'!$AA$63="Catastrófico"),CONCATENATE("R8C",'Mapa final'!$O$63),"")</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
      <c r="A54" s="83"/>
      <c r="B54" s="246"/>
      <c r="C54" s="246"/>
      <c r="D54" s="247"/>
      <c r="E54" s="345"/>
      <c r="F54" s="344"/>
      <c r="G54" s="344"/>
      <c r="H54" s="344"/>
      <c r="I54" s="360"/>
      <c r="J54" s="76" t="str">
        <f>IF(AND('Mapa final'!$Y$64="Muy Baja",'Mapa final'!$AA$64="Leve"),CONCATENATE("R9C",'Mapa final'!$O$64),"")</f>
        <v/>
      </c>
      <c r="K54" s="77" t="str">
        <f>IF(AND('Mapa final'!$Y$65="Muy Baja",'Mapa final'!$AA$65="Leve"),CONCATENATE("R9C",'Mapa final'!$O$65),"")</f>
        <v/>
      </c>
      <c r="L54" s="77" t="str">
        <f>IF(AND('Mapa final'!$Y$66="Muy Baja",'Mapa final'!$AA$66="Leve"),CONCATENATE("R9C",'Mapa final'!$O$66),"")</f>
        <v/>
      </c>
      <c r="M54" s="77" t="str">
        <f>IF(AND('Mapa final'!$Y$67="Muy Baja",'Mapa final'!$AA$67="Leve"),CONCATENATE("R9C",'Mapa final'!$O$67),"")</f>
        <v/>
      </c>
      <c r="N54" s="77" t="str">
        <f>IF(AND('Mapa final'!$Y$68="Muy Baja",'Mapa final'!$AA$68="Leve"),CONCATENATE("R9C",'Mapa final'!$O$68),"")</f>
        <v/>
      </c>
      <c r="O54" s="78" t="str">
        <f>IF(AND('Mapa final'!$Y$69="Muy Baja",'Mapa final'!$AA$69="Leve"),CONCATENATE("R9C",'Mapa final'!$O$69),"")</f>
        <v/>
      </c>
      <c r="P54" s="76" t="str">
        <f>IF(AND('Mapa final'!$Y$64="Muy Baja",'Mapa final'!$AA$64="Menor"),CONCATENATE("R9C",'Mapa final'!$O$64),"")</f>
        <v/>
      </c>
      <c r="Q54" s="77" t="str">
        <f>IF(AND('Mapa final'!$Y$65="Muy Baja",'Mapa final'!$AA$65="Menor"),CONCATENATE("R9C",'Mapa final'!$O$65),"")</f>
        <v/>
      </c>
      <c r="R54" s="77" t="str">
        <f>IF(AND('Mapa final'!$Y$66="Muy Baja",'Mapa final'!$AA$66="Menor"),CONCATENATE("R9C",'Mapa final'!$O$66),"")</f>
        <v/>
      </c>
      <c r="S54" s="77" t="str">
        <f>IF(AND('Mapa final'!$Y$67="Muy Baja",'Mapa final'!$AA$67="Menor"),CONCATENATE("R9C",'Mapa final'!$O$67),"")</f>
        <v/>
      </c>
      <c r="T54" s="77" t="str">
        <f>IF(AND('Mapa final'!$Y$68="Muy Baja",'Mapa final'!$AA$68="Menor"),CONCATENATE("R9C",'Mapa final'!$O$68),"")</f>
        <v/>
      </c>
      <c r="U54" s="78" t="str">
        <f>IF(AND('Mapa final'!$Y$69="Muy Baja",'Mapa final'!$AA$69="Menor"),CONCATENATE("R9C",'Mapa final'!$O$69),"")</f>
        <v/>
      </c>
      <c r="V54" s="67" t="str">
        <f>IF(AND('Mapa final'!$Y$64="Muy Baja",'Mapa final'!$AA$64="Moderado"),CONCATENATE("R9C",'Mapa final'!$O$64),"")</f>
        <v/>
      </c>
      <c r="W54" s="68" t="str">
        <f>IF(AND('Mapa final'!$Y$65="Muy Baja",'Mapa final'!$AA$65="Moderado"),CONCATENATE("R9C",'Mapa final'!$O$65),"")</f>
        <v/>
      </c>
      <c r="X54" s="68" t="str">
        <f>IF(AND('Mapa final'!$Y$66="Muy Baja",'Mapa final'!$AA$66="Moderado"),CONCATENATE("R9C",'Mapa final'!$O$66),"")</f>
        <v/>
      </c>
      <c r="Y54" s="68" t="str">
        <f>IF(AND('Mapa final'!$Y$67="Muy Baja",'Mapa final'!$AA$67="Moderado"),CONCATENATE("R9C",'Mapa final'!$O$67),"")</f>
        <v/>
      </c>
      <c r="Z54" s="68" t="str">
        <f>IF(AND('Mapa final'!$Y$68="Muy Baja",'Mapa final'!$AA$68="Moderado"),CONCATENATE("R9C",'Mapa final'!$O$68),"")</f>
        <v/>
      </c>
      <c r="AA54" s="69" t="str">
        <f>IF(AND('Mapa final'!$Y$69="Muy Baja",'Mapa final'!$AA$69="Moderado"),CONCATENATE("R9C",'Mapa final'!$O$69),"")</f>
        <v/>
      </c>
      <c r="AB54" s="52" t="str">
        <f>IF(AND('Mapa final'!$Y$64="Muy Baja",'Mapa final'!$AA$64="Mayor"),CONCATENATE("R9C",'Mapa final'!$O$64),"")</f>
        <v/>
      </c>
      <c r="AC54" s="53" t="str">
        <f>IF(AND('Mapa final'!$Y$65="Muy Baja",'Mapa final'!$AA$65="Mayor"),CONCATENATE("R9C",'Mapa final'!$O$65),"")</f>
        <v/>
      </c>
      <c r="AD54" s="53" t="str">
        <f>IF(AND('Mapa final'!$Y$66="Muy Baja",'Mapa final'!$AA$66="Mayor"),CONCATENATE("R9C",'Mapa final'!$O$66),"")</f>
        <v/>
      </c>
      <c r="AE54" s="53" t="str">
        <f>IF(AND('Mapa final'!$Y$67="Muy Baja",'Mapa final'!$AA$67="Mayor"),CONCATENATE("R9C",'Mapa final'!$O$67),"")</f>
        <v/>
      </c>
      <c r="AF54" s="53" t="str">
        <f>IF(AND('Mapa final'!$Y$68="Muy Baja",'Mapa final'!$AA$68="Mayor"),CONCATENATE("R9C",'Mapa final'!$O$68),"")</f>
        <v/>
      </c>
      <c r="AG54" s="54" t="str">
        <f>IF(AND('Mapa final'!$Y$69="Muy Baja",'Mapa final'!$AA$69="Mayor"),CONCATENATE("R9C",'Mapa final'!$O$69),"")</f>
        <v/>
      </c>
      <c r="AH54" s="55" t="str">
        <f>IF(AND('Mapa final'!$Y$64="Muy Baja",'Mapa final'!$AA$64="Catastrófico"),CONCATENATE("R9C",'Mapa final'!$O$64),"")</f>
        <v/>
      </c>
      <c r="AI54" s="56" t="str">
        <f>IF(AND('Mapa final'!$Y$65="Muy Baja",'Mapa final'!$AA$65="Catastrófico"),CONCATENATE("R9C",'Mapa final'!$O$65),"")</f>
        <v/>
      </c>
      <c r="AJ54" s="56" t="str">
        <f>IF(AND('Mapa final'!$Y$66="Muy Baja",'Mapa final'!$AA$66="Catastrófico"),CONCATENATE("R9C",'Mapa final'!$O$66),"")</f>
        <v/>
      </c>
      <c r="AK54" s="56" t="str">
        <f>IF(AND('Mapa final'!$Y$67="Muy Baja",'Mapa final'!$AA$67="Catastrófico"),CONCATENATE("R9C",'Mapa final'!$O$67),"")</f>
        <v/>
      </c>
      <c r="AL54" s="56" t="str">
        <f>IF(AND('Mapa final'!$Y$68="Muy Baja",'Mapa final'!$AA$68="Catastrófico"),CONCATENATE("R9C",'Mapa final'!$O$68),"")</f>
        <v/>
      </c>
      <c r="AM54" s="57" t="str">
        <f>IF(AND('Mapa final'!$Y$69="Muy Baja",'Mapa final'!$AA$69="Catastrófico"),CONCATENATE("R9C",'Mapa final'!$O$69),"")</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25">
      <c r="A55" s="83"/>
      <c r="B55" s="246"/>
      <c r="C55" s="246"/>
      <c r="D55" s="247"/>
      <c r="E55" s="346"/>
      <c r="F55" s="347"/>
      <c r="G55" s="347"/>
      <c r="H55" s="347"/>
      <c r="I55" s="361"/>
      <c r="J55" s="79" t="e">
        <f>IF(AND('Mapa final'!#REF!="Muy Baja",'Mapa final'!#REF!="Leve"),CONCATENATE("R10C",'Mapa final'!#REF!),"")</f>
        <v>#REF!</v>
      </c>
      <c r="K55" s="80" t="e">
        <f>IF(AND('Mapa final'!#REF!="Muy Baja",'Mapa final'!#REF!="Leve"),CONCATENATE("R10C",'Mapa final'!#REF!),"")</f>
        <v>#REF!</v>
      </c>
      <c r="L55" s="80" t="e">
        <f>IF(AND('Mapa final'!#REF!="Muy Baja",'Mapa final'!#REF!="Leve"),CONCATENATE("R10C",'Mapa final'!#REF!),"")</f>
        <v>#REF!</v>
      </c>
      <c r="M55" s="80" t="e">
        <f>IF(AND('Mapa final'!#REF!="Muy Baja",'Mapa final'!#REF!="Leve"),CONCATENATE("R10C",'Mapa final'!#REF!),"")</f>
        <v>#REF!</v>
      </c>
      <c r="N55" s="80" t="e">
        <f>IF(AND('Mapa final'!#REF!="Muy Baja",'Mapa final'!#REF!="Leve"),CONCATENATE("R10C",'Mapa final'!#REF!),"")</f>
        <v>#REF!</v>
      </c>
      <c r="O55" s="81" t="e">
        <f>IF(AND('Mapa final'!#REF!="Muy Baja",'Mapa final'!#REF!="Leve"),CONCATENATE("R10C",'Mapa final'!#REF!),"")</f>
        <v>#REF!</v>
      </c>
      <c r="P55" s="79" t="e">
        <f>IF(AND('Mapa final'!#REF!="Muy Baja",'Mapa final'!#REF!="Menor"),CONCATENATE("R10C",'Mapa final'!#REF!),"")</f>
        <v>#REF!</v>
      </c>
      <c r="Q55" s="80" t="e">
        <f>IF(AND('Mapa final'!#REF!="Muy Baja",'Mapa final'!#REF!="Menor"),CONCATENATE("R10C",'Mapa final'!#REF!),"")</f>
        <v>#REF!</v>
      </c>
      <c r="R55" s="80" t="e">
        <f>IF(AND('Mapa final'!#REF!="Muy Baja",'Mapa final'!#REF!="Menor"),CONCATENATE("R10C",'Mapa final'!#REF!),"")</f>
        <v>#REF!</v>
      </c>
      <c r="S55" s="80" t="e">
        <f>IF(AND('Mapa final'!#REF!="Muy Baja",'Mapa final'!#REF!="Menor"),CONCATENATE("R10C",'Mapa final'!#REF!),"")</f>
        <v>#REF!</v>
      </c>
      <c r="T55" s="80" t="e">
        <f>IF(AND('Mapa final'!#REF!="Muy Baja",'Mapa final'!#REF!="Menor"),CONCATENATE("R10C",'Mapa final'!#REF!),"")</f>
        <v>#REF!</v>
      </c>
      <c r="U55" s="81" t="e">
        <f>IF(AND('Mapa final'!#REF!="Muy Baja",'Mapa final'!#REF!="Menor"),CONCATENATE("R10C",'Mapa final'!#REF!),"")</f>
        <v>#REF!</v>
      </c>
      <c r="V55" s="70" t="e">
        <f>IF(AND('Mapa final'!#REF!="Muy Baja",'Mapa final'!#REF!="Moderado"),CONCATENATE("R10C",'Mapa final'!#REF!),"")</f>
        <v>#REF!</v>
      </c>
      <c r="W55" s="71" t="e">
        <f>IF(AND('Mapa final'!#REF!="Muy Baja",'Mapa final'!#REF!="Moderado"),CONCATENATE("R10C",'Mapa final'!#REF!),"")</f>
        <v>#REF!</v>
      </c>
      <c r="X55" s="71" t="e">
        <f>IF(AND('Mapa final'!#REF!="Muy Baja",'Mapa final'!#REF!="Moderado"),CONCATENATE("R10C",'Mapa final'!#REF!),"")</f>
        <v>#REF!</v>
      </c>
      <c r="Y55" s="71" t="e">
        <f>IF(AND('Mapa final'!#REF!="Muy Baja",'Mapa final'!#REF!="Moderado"),CONCATENATE("R10C",'Mapa final'!#REF!),"")</f>
        <v>#REF!</v>
      </c>
      <c r="Z55" s="71" t="e">
        <f>IF(AND('Mapa final'!#REF!="Muy Baja",'Mapa final'!#REF!="Moderado"),CONCATENATE("R10C",'Mapa final'!#REF!),"")</f>
        <v>#REF!</v>
      </c>
      <c r="AA55" s="72" t="e">
        <f>IF(AND('Mapa final'!#REF!="Muy Baja",'Mapa final'!#REF!="Moderado"),CONCATENATE("R10C",'Mapa final'!#REF!),"")</f>
        <v>#REF!</v>
      </c>
      <c r="AB55" s="58" t="e">
        <f>IF(AND('Mapa final'!#REF!="Muy Baja",'Mapa final'!#REF!="Mayor"),CONCATENATE("R10C",'Mapa final'!#REF!),"")</f>
        <v>#REF!</v>
      </c>
      <c r="AC55" s="59" t="e">
        <f>IF(AND('Mapa final'!#REF!="Muy Baja",'Mapa final'!#REF!="Mayor"),CONCATENATE("R10C",'Mapa final'!#REF!),"")</f>
        <v>#REF!</v>
      </c>
      <c r="AD55" s="59" t="e">
        <f>IF(AND('Mapa final'!#REF!="Muy Baja",'Mapa final'!#REF!="Mayor"),CONCATENATE("R10C",'Mapa final'!#REF!),"")</f>
        <v>#REF!</v>
      </c>
      <c r="AE55" s="59" t="e">
        <f>IF(AND('Mapa final'!#REF!="Muy Baja",'Mapa final'!#REF!="Mayor"),CONCATENATE("R10C",'Mapa final'!#REF!),"")</f>
        <v>#REF!</v>
      </c>
      <c r="AF55" s="59" t="e">
        <f>IF(AND('Mapa final'!#REF!="Muy Baja",'Mapa final'!#REF!="Mayor"),CONCATENATE("R10C",'Mapa final'!#REF!),"")</f>
        <v>#REF!</v>
      </c>
      <c r="AG55" s="60" t="e">
        <f>IF(AND('Mapa final'!#REF!="Muy Baja",'Mapa final'!#REF!="Mayor"),CONCATENATE("R10C",'Mapa final'!#REF!),"")</f>
        <v>#REF!</v>
      </c>
      <c r="AH55" s="61" t="e">
        <f>IF(AND('Mapa final'!#REF!="Muy Baja",'Mapa final'!#REF!="Catastrófico"),CONCATENATE("R10C",'Mapa final'!#REF!),"")</f>
        <v>#REF!</v>
      </c>
      <c r="AI55" s="62" t="e">
        <f>IF(AND('Mapa final'!#REF!="Muy Baja",'Mapa final'!#REF!="Catastrófico"),CONCATENATE("R10C",'Mapa final'!#REF!),"")</f>
        <v>#REF!</v>
      </c>
      <c r="AJ55" s="62" t="e">
        <f>IF(AND('Mapa final'!#REF!="Muy Baja",'Mapa final'!#REF!="Catastrófico"),CONCATENATE("R10C",'Mapa final'!#REF!),"")</f>
        <v>#REF!</v>
      </c>
      <c r="AK55" s="62" t="e">
        <f>IF(AND('Mapa final'!#REF!="Muy Baja",'Mapa final'!#REF!="Catastrófico"),CONCATENATE("R10C",'Mapa final'!#REF!),"")</f>
        <v>#REF!</v>
      </c>
      <c r="AL55" s="62" t="e">
        <f>IF(AND('Mapa final'!#REF!="Muy Baja",'Mapa final'!#REF!="Catastrófico"),CONCATENATE("R10C",'Mapa final'!#REF!),"")</f>
        <v>#REF!</v>
      </c>
      <c r="AM55" s="63" t="e">
        <f>IF(AND('Mapa final'!#REF!="Muy Baja",'Mapa final'!#REF!="Catastrófico"),CONCATENATE("R10C",'Mapa final'!#REF!),"")</f>
        <v>#REF!</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
      <c r="A56" s="83"/>
      <c r="B56" s="83"/>
      <c r="C56" s="83"/>
      <c r="D56" s="83"/>
      <c r="E56" s="83"/>
      <c r="F56" s="83"/>
      <c r="G56" s="83"/>
      <c r="H56" s="83"/>
      <c r="I56" s="83"/>
      <c r="J56" s="341" t="s">
        <v>110</v>
      </c>
      <c r="K56" s="342"/>
      <c r="L56" s="342"/>
      <c r="M56" s="342"/>
      <c r="N56" s="342"/>
      <c r="O56" s="359"/>
      <c r="P56" s="341" t="s">
        <v>109</v>
      </c>
      <c r="Q56" s="342"/>
      <c r="R56" s="342"/>
      <c r="S56" s="342"/>
      <c r="T56" s="342"/>
      <c r="U56" s="359"/>
      <c r="V56" s="341" t="s">
        <v>108</v>
      </c>
      <c r="W56" s="342"/>
      <c r="X56" s="342"/>
      <c r="Y56" s="342"/>
      <c r="Z56" s="342"/>
      <c r="AA56" s="359"/>
      <c r="AB56" s="341" t="s">
        <v>107</v>
      </c>
      <c r="AC56" s="380"/>
      <c r="AD56" s="342"/>
      <c r="AE56" s="342"/>
      <c r="AF56" s="342"/>
      <c r="AG56" s="359"/>
      <c r="AH56" s="341" t="s">
        <v>106</v>
      </c>
      <c r="AI56" s="342"/>
      <c r="AJ56" s="342"/>
      <c r="AK56" s="342"/>
      <c r="AL56" s="342"/>
      <c r="AM56" s="35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
      <c r="A57" s="83"/>
      <c r="B57" s="83"/>
      <c r="C57" s="83"/>
      <c r="D57" s="83"/>
      <c r="E57" s="83"/>
      <c r="F57" s="83"/>
      <c r="G57" s="83"/>
      <c r="H57" s="83"/>
      <c r="I57" s="83"/>
      <c r="J57" s="345"/>
      <c r="K57" s="344"/>
      <c r="L57" s="344"/>
      <c r="M57" s="344"/>
      <c r="N57" s="344"/>
      <c r="O57" s="360"/>
      <c r="P57" s="345"/>
      <c r="Q57" s="344"/>
      <c r="R57" s="344"/>
      <c r="S57" s="344"/>
      <c r="T57" s="344"/>
      <c r="U57" s="360"/>
      <c r="V57" s="345"/>
      <c r="W57" s="344"/>
      <c r="X57" s="344"/>
      <c r="Y57" s="344"/>
      <c r="Z57" s="344"/>
      <c r="AA57" s="360"/>
      <c r="AB57" s="345"/>
      <c r="AC57" s="344"/>
      <c r="AD57" s="344"/>
      <c r="AE57" s="344"/>
      <c r="AF57" s="344"/>
      <c r="AG57" s="360"/>
      <c r="AH57" s="345"/>
      <c r="AI57" s="344"/>
      <c r="AJ57" s="344"/>
      <c r="AK57" s="344"/>
      <c r="AL57" s="344"/>
      <c r="AM57" s="36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
      <c r="A58" s="83"/>
      <c r="B58" s="83"/>
      <c r="C58" s="83"/>
      <c r="D58" s="83"/>
      <c r="E58" s="83"/>
      <c r="F58" s="83"/>
      <c r="G58" s="83"/>
      <c r="H58" s="83"/>
      <c r="I58" s="83"/>
      <c r="J58" s="345"/>
      <c r="K58" s="344"/>
      <c r="L58" s="344"/>
      <c r="M58" s="344"/>
      <c r="N58" s="344"/>
      <c r="O58" s="360"/>
      <c r="P58" s="345"/>
      <c r="Q58" s="344"/>
      <c r="R58" s="344"/>
      <c r="S58" s="344"/>
      <c r="T58" s="344"/>
      <c r="U58" s="360"/>
      <c r="V58" s="345"/>
      <c r="W58" s="344"/>
      <c r="X58" s="344"/>
      <c r="Y58" s="344"/>
      <c r="Z58" s="344"/>
      <c r="AA58" s="360"/>
      <c r="AB58" s="345"/>
      <c r="AC58" s="344"/>
      <c r="AD58" s="344"/>
      <c r="AE58" s="344"/>
      <c r="AF58" s="344"/>
      <c r="AG58" s="360"/>
      <c r="AH58" s="345"/>
      <c r="AI58" s="344"/>
      <c r="AJ58" s="344"/>
      <c r="AK58" s="344"/>
      <c r="AL58" s="344"/>
      <c r="AM58" s="36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
      <c r="A59" s="83"/>
      <c r="B59" s="83"/>
      <c r="C59" s="83"/>
      <c r="D59" s="83"/>
      <c r="E59" s="83"/>
      <c r="F59" s="83"/>
      <c r="G59" s="83"/>
      <c r="H59" s="83"/>
      <c r="I59" s="83"/>
      <c r="J59" s="345"/>
      <c r="K59" s="344"/>
      <c r="L59" s="344"/>
      <c r="M59" s="344"/>
      <c r="N59" s="344"/>
      <c r="O59" s="360"/>
      <c r="P59" s="345"/>
      <c r="Q59" s="344"/>
      <c r="R59" s="344"/>
      <c r="S59" s="344"/>
      <c r="T59" s="344"/>
      <c r="U59" s="360"/>
      <c r="V59" s="345"/>
      <c r="W59" s="344"/>
      <c r="X59" s="344"/>
      <c r="Y59" s="344"/>
      <c r="Z59" s="344"/>
      <c r="AA59" s="360"/>
      <c r="AB59" s="345"/>
      <c r="AC59" s="344"/>
      <c r="AD59" s="344"/>
      <c r="AE59" s="344"/>
      <c r="AF59" s="344"/>
      <c r="AG59" s="360"/>
      <c r="AH59" s="345"/>
      <c r="AI59" s="344"/>
      <c r="AJ59" s="344"/>
      <c r="AK59" s="344"/>
      <c r="AL59" s="344"/>
      <c r="AM59" s="36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
      <c r="A60" s="83"/>
      <c r="B60" s="83"/>
      <c r="C60" s="83"/>
      <c r="D60" s="83"/>
      <c r="E60" s="83"/>
      <c r="F60" s="83"/>
      <c r="G60" s="83"/>
      <c r="H60" s="83"/>
      <c r="I60" s="83"/>
      <c r="J60" s="345"/>
      <c r="K60" s="344"/>
      <c r="L60" s="344"/>
      <c r="M60" s="344"/>
      <c r="N60" s="344"/>
      <c r="O60" s="360"/>
      <c r="P60" s="345"/>
      <c r="Q60" s="344"/>
      <c r="R60" s="344"/>
      <c r="S60" s="344"/>
      <c r="T60" s="344"/>
      <c r="U60" s="360"/>
      <c r="V60" s="345"/>
      <c r="W60" s="344"/>
      <c r="X60" s="344"/>
      <c r="Y60" s="344"/>
      <c r="Z60" s="344"/>
      <c r="AA60" s="360"/>
      <c r="AB60" s="345"/>
      <c r="AC60" s="344"/>
      <c r="AD60" s="344"/>
      <c r="AE60" s="344"/>
      <c r="AF60" s="344"/>
      <c r="AG60" s="360"/>
      <c r="AH60" s="345"/>
      <c r="AI60" s="344"/>
      <c r="AJ60" s="344"/>
      <c r="AK60" s="344"/>
      <c r="AL60" s="344"/>
      <c r="AM60" s="36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6" thickBot="1" x14ac:dyDescent="0.25">
      <c r="A61" s="83"/>
      <c r="B61" s="83"/>
      <c r="C61" s="83"/>
      <c r="D61" s="83"/>
      <c r="E61" s="83"/>
      <c r="F61" s="83"/>
      <c r="G61" s="83"/>
      <c r="H61" s="83"/>
      <c r="I61" s="83"/>
      <c r="J61" s="346"/>
      <c r="K61" s="347"/>
      <c r="L61" s="347"/>
      <c r="M61" s="347"/>
      <c r="N61" s="347"/>
      <c r="O61" s="361"/>
      <c r="P61" s="346"/>
      <c r="Q61" s="347"/>
      <c r="R61" s="347"/>
      <c r="S61" s="347"/>
      <c r="T61" s="347"/>
      <c r="U61" s="361"/>
      <c r="V61" s="346"/>
      <c r="W61" s="347"/>
      <c r="X61" s="347"/>
      <c r="Y61" s="347"/>
      <c r="Z61" s="347"/>
      <c r="AA61" s="361"/>
      <c r="AB61" s="346"/>
      <c r="AC61" s="347"/>
      <c r="AD61" s="347"/>
      <c r="AE61" s="347"/>
      <c r="AF61" s="347"/>
      <c r="AG61" s="361"/>
      <c r="AH61" s="346"/>
      <c r="AI61" s="347"/>
      <c r="AJ61" s="347"/>
      <c r="AK61" s="347"/>
      <c r="AL61" s="347"/>
      <c r="AM61" s="36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
      <c r="A245" s="83"/>
    </row>
    <row r="246" spans="1:60" x14ac:dyDescent="0.2">
      <c r="A246" s="83"/>
    </row>
    <row r="247" spans="1:60" x14ac:dyDescent="0.2">
      <c r="A247" s="83"/>
    </row>
    <row r="248" spans="1:60" x14ac:dyDescent="0.2">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3" workbookViewId="0">
      <selection activeCell="C8" sqref="C8"/>
    </sheetView>
  </sheetViews>
  <sheetFormatPr baseColWidth="10" defaultRowHeight="15" x14ac:dyDescent="0.2"/>
  <cols>
    <col min="2" max="2" width="24.1640625" customWidth="1"/>
    <col min="3" max="3" width="70.1640625" customWidth="1"/>
    <col min="4" max="4" width="29.6640625" customWidth="1"/>
  </cols>
  <sheetData>
    <row r="1" spans="1:37" ht="23" x14ac:dyDescent="0.2">
      <c r="A1" s="83"/>
      <c r="B1" s="381" t="s">
        <v>53</v>
      </c>
      <c r="C1" s="381"/>
      <c r="D1" s="38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6" x14ac:dyDescent="0.2">
      <c r="A3" s="83"/>
      <c r="B3" s="11"/>
      <c r="C3" s="12" t="s">
        <v>50</v>
      </c>
      <c r="D3" s="12"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2" x14ac:dyDescent="0.2">
      <c r="A4" s="83"/>
      <c r="B4" s="13" t="s">
        <v>49</v>
      </c>
      <c r="C4" s="14" t="s">
        <v>100</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2" x14ac:dyDescent="0.2">
      <c r="A5" s="83"/>
      <c r="B5" s="16" t="s">
        <v>51</v>
      </c>
      <c r="C5" s="17" t="s">
        <v>101</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2" x14ac:dyDescent="0.2">
      <c r="A6" s="83" t="s">
        <v>216</v>
      </c>
      <c r="B6" s="19" t="s">
        <v>105</v>
      </c>
      <c r="C6" s="17" t="s">
        <v>102</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52" x14ac:dyDescent="0.2">
      <c r="A7" s="83" t="s">
        <v>215</v>
      </c>
      <c r="B7" s="20" t="s">
        <v>5</v>
      </c>
      <c r="C7" s="17" t="s">
        <v>103</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2" x14ac:dyDescent="0.2">
      <c r="A8" s="83"/>
      <c r="B8" s="21" t="s">
        <v>52</v>
      </c>
      <c r="C8" s="17" t="s">
        <v>104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2">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
      <c r="A35" s="83"/>
    </row>
    <row r="36" spans="1:31" x14ac:dyDescent="0.2">
      <c r="A36" s="83"/>
    </row>
    <row r="37" spans="1:31" x14ac:dyDescent="0.2">
      <c r="A37" s="83"/>
    </row>
    <row r="38" spans="1:31" x14ac:dyDescent="0.2">
      <c r="A38" s="83"/>
    </row>
    <row r="39" spans="1:31" x14ac:dyDescent="0.2">
      <c r="A39" s="83"/>
    </row>
    <row r="40" spans="1:31" x14ac:dyDescent="0.2">
      <c r="A40" s="83"/>
    </row>
    <row r="41" spans="1:31" x14ac:dyDescent="0.2">
      <c r="A41" s="83"/>
    </row>
    <row r="42" spans="1:31" x14ac:dyDescent="0.2">
      <c r="A42" s="83"/>
    </row>
    <row r="43" spans="1:31" x14ac:dyDescent="0.2">
      <c r="A43" s="83"/>
    </row>
    <row r="44" spans="1:31" x14ac:dyDescent="0.2">
      <c r="A44" s="83"/>
    </row>
    <row r="45" spans="1:31" x14ac:dyDescent="0.2">
      <c r="A45" s="83"/>
    </row>
    <row r="46" spans="1:31" x14ac:dyDescent="0.2">
      <c r="A46" s="83"/>
    </row>
    <row r="47" spans="1:31" x14ac:dyDescent="0.2">
      <c r="A47" s="83"/>
    </row>
    <row r="48" spans="1:31" x14ac:dyDescent="0.2">
      <c r="A48" s="83"/>
    </row>
    <row r="49" spans="1:1" x14ac:dyDescent="0.2">
      <c r="A49" s="83"/>
    </row>
    <row r="50" spans="1:1" x14ac:dyDescent="0.2">
      <c r="A50" s="83"/>
    </row>
    <row r="51" spans="1:1" x14ac:dyDescent="0.2">
      <c r="A51" s="83"/>
    </row>
    <row r="52" spans="1:1" x14ac:dyDescent="0.2">
      <c r="A52" s="83"/>
    </row>
    <row r="53" spans="1:1" x14ac:dyDescent="0.2">
      <c r="A53" s="83"/>
    </row>
    <row r="54" spans="1:1" x14ac:dyDescent="0.2">
      <c r="A54" s="83"/>
    </row>
    <row r="55" spans="1:1" x14ac:dyDescent="0.2">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3" workbookViewId="0">
      <selection activeCell="C5" sqref="C5"/>
    </sheetView>
  </sheetViews>
  <sheetFormatPr baseColWidth="10" defaultRowHeight="15" x14ac:dyDescent="0.2"/>
  <cols>
    <col min="2" max="2" width="40.5" customWidth="1"/>
    <col min="3" max="3" width="74.6640625" customWidth="1"/>
    <col min="4" max="4" width="135" bestFit="1" customWidth="1"/>
    <col min="5" max="5" width="144.6640625" bestFit="1" customWidth="1"/>
  </cols>
  <sheetData>
    <row r="1" spans="1:21" ht="33" x14ac:dyDescent="0.2">
      <c r="A1" s="83"/>
      <c r="B1" s="382" t="s">
        <v>61</v>
      </c>
      <c r="C1" s="382"/>
      <c r="D1" s="382"/>
      <c r="E1" s="83"/>
      <c r="F1" s="83"/>
      <c r="G1" s="83"/>
      <c r="H1" s="83"/>
      <c r="I1" s="83"/>
      <c r="J1" s="83"/>
      <c r="K1" s="83"/>
      <c r="L1" s="83"/>
      <c r="M1" s="83"/>
      <c r="N1" s="83"/>
      <c r="O1" s="83"/>
      <c r="P1" s="83"/>
      <c r="Q1" s="83"/>
      <c r="R1" s="83"/>
      <c r="S1" s="83"/>
      <c r="T1" s="83"/>
      <c r="U1" s="83"/>
    </row>
    <row r="2" spans="1:21" x14ac:dyDescent="0.2">
      <c r="A2" s="83"/>
      <c r="B2" s="83"/>
      <c r="C2" s="83"/>
      <c r="D2" s="83"/>
      <c r="E2" s="83"/>
      <c r="F2" s="83"/>
      <c r="G2" s="83"/>
      <c r="H2" s="83"/>
      <c r="I2" s="83"/>
      <c r="J2" s="83"/>
      <c r="K2" s="83"/>
      <c r="L2" s="83"/>
      <c r="M2" s="83"/>
      <c r="N2" s="83"/>
      <c r="O2" s="83"/>
      <c r="P2" s="83"/>
      <c r="Q2" s="83"/>
      <c r="R2" s="83"/>
      <c r="S2" s="83"/>
      <c r="T2" s="83"/>
      <c r="U2" s="83"/>
    </row>
    <row r="3" spans="1:21" ht="31" x14ac:dyDescent="0.2">
      <c r="A3" s="83"/>
      <c r="B3" s="104"/>
      <c r="C3" s="36" t="s">
        <v>54</v>
      </c>
      <c r="D3" s="36" t="s">
        <v>55</v>
      </c>
      <c r="E3" s="83"/>
      <c r="F3" s="83"/>
      <c r="G3" s="83"/>
      <c r="H3" s="83"/>
      <c r="I3" s="83"/>
      <c r="J3" s="83"/>
      <c r="K3" s="83"/>
      <c r="L3" s="83"/>
      <c r="M3" s="83"/>
      <c r="N3" s="83"/>
      <c r="O3" s="83"/>
      <c r="P3" s="83"/>
      <c r="Q3" s="83"/>
      <c r="R3" s="83"/>
      <c r="S3" s="83"/>
      <c r="T3" s="83"/>
      <c r="U3" s="83"/>
    </row>
    <row r="4" spans="1:21" ht="34" x14ac:dyDescent="0.2">
      <c r="A4" s="103" t="s">
        <v>81</v>
      </c>
      <c r="B4" s="39" t="s">
        <v>99</v>
      </c>
      <c r="C4" s="44" t="s">
        <v>156</v>
      </c>
      <c r="D4" s="37" t="s">
        <v>95</v>
      </c>
      <c r="E4" s="83"/>
      <c r="F4" s="83"/>
      <c r="G4" s="83"/>
      <c r="H4" s="83"/>
      <c r="I4" s="83"/>
      <c r="J4" s="83"/>
      <c r="K4" s="83"/>
      <c r="L4" s="83"/>
      <c r="M4" s="83"/>
      <c r="N4" s="83"/>
      <c r="O4" s="83"/>
      <c r="P4" s="83"/>
      <c r="Q4" s="83"/>
      <c r="R4" s="83"/>
      <c r="S4" s="83"/>
      <c r="T4" s="83"/>
      <c r="U4" s="83"/>
    </row>
    <row r="5" spans="1:21" ht="68" x14ac:dyDescent="0.2">
      <c r="A5" s="103" t="s">
        <v>82</v>
      </c>
      <c r="B5" s="40" t="s">
        <v>57</v>
      </c>
      <c r="C5" s="45" t="s">
        <v>91</v>
      </c>
      <c r="D5" s="38" t="s">
        <v>96</v>
      </c>
      <c r="E5" s="83"/>
      <c r="F5" s="83"/>
      <c r="G5" s="83"/>
      <c r="H5" s="83"/>
      <c r="I5" s="83"/>
      <c r="J5" s="83"/>
      <c r="K5" s="83"/>
      <c r="L5" s="83"/>
      <c r="M5" s="83"/>
      <c r="N5" s="83"/>
      <c r="O5" s="83"/>
      <c r="P5" s="83"/>
      <c r="Q5" s="83"/>
      <c r="R5" s="83"/>
      <c r="S5" s="83"/>
      <c r="T5" s="83"/>
      <c r="U5" s="83"/>
    </row>
    <row r="6" spans="1:21" ht="68" x14ac:dyDescent="0.2">
      <c r="A6" s="103" t="s">
        <v>79</v>
      </c>
      <c r="B6" s="41" t="s">
        <v>58</v>
      </c>
      <c r="C6" s="45" t="s">
        <v>92</v>
      </c>
      <c r="D6" s="38" t="s">
        <v>98</v>
      </c>
      <c r="E6" s="83"/>
      <c r="F6" s="83"/>
      <c r="G6" s="83"/>
      <c r="H6" s="83"/>
      <c r="I6" s="83"/>
      <c r="J6" s="83"/>
      <c r="K6" s="83"/>
      <c r="L6" s="83"/>
      <c r="M6" s="83"/>
      <c r="N6" s="83"/>
      <c r="O6" s="83"/>
      <c r="P6" s="83"/>
      <c r="Q6" s="83"/>
      <c r="R6" s="83"/>
      <c r="S6" s="83"/>
      <c r="T6" s="83"/>
      <c r="U6" s="83"/>
    </row>
    <row r="7" spans="1:21" ht="68" x14ac:dyDescent="0.2">
      <c r="A7" s="103" t="s">
        <v>6</v>
      </c>
      <c r="B7" s="42" t="s">
        <v>59</v>
      </c>
      <c r="C7" s="45" t="s">
        <v>93</v>
      </c>
      <c r="D7" s="38" t="s">
        <v>97</v>
      </c>
      <c r="E7" s="83"/>
      <c r="F7" s="83"/>
      <c r="G7" s="83"/>
      <c r="H7" s="83"/>
      <c r="I7" s="83"/>
      <c r="J7" s="83"/>
      <c r="K7" s="83"/>
      <c r="L7" s="83"/>
      <c r="M7" s="83"/>
      <c r="N7" s="83"/>
      <c r="O7" s="83"/>
      <c r="P7" s="83"/>
      <c r="Q7" s="83"/>
      <c r="R7" s="83"/>
      <c r="S7" s="83"/>
      <c r="T7" s="83"/>
      <c r="U7" s="83"/>
    </row>
    <row r="8" spans="1:21" ht="68" x14ac:dyDescent="0.2">
      <c r="A8" s="103" t="s">
        <v>83</v>
      </c>
      <c r="B8" s="43" t="s">
        <v>60</v>
      </c>
      <c r="C8" s="45" t="s">
        <v>94</v>
      </c>
      <c r="D8" s="38" t="s">
        <v>116</v>
      </c>
      <c r="E8" s="83"/>
      <c r="F8" s="83"/>
      <c r="G8" s="83"/>
      <c r="H8" s="83"/>
      <c r="I8" s="83"/>
      <c r="J8" s="83"/>
      <c r="K8" s="83"/>
      <c r="L8" s="83"/>
      <c r="M8" s="83"/>
      <c r="N8" s="83"/>
      <c r="O8" s="83"/>
      <c r="P8" s="83"/>
      <c r="Q8" s="83"/>
      <c r="R8" s="83"/>
      <c r="S8" s="83"/>
      <c r="T8" s="83"/>
      <c r="U8" s="83"/>
    </row>
    <row r="9" spans="1:21" ht="20" x14ac:dyDescent="0.2">
      <c r="A9" s="103"/>
      <c r="B9" s="103"/>
      <c r="C9" s="105"/>
      <c r="D9" s="105"/>
      <c r="E9" s="83"/>
      <c r="F9" s="83"/>
      <c r="G9" s="83"/>
      <c r="H9" s="83"/>
      <c r="I9" s="83"/>
      <c r="J9" s="83"/>
      <c r="K9" s="83"/>
      <c r="L9" s="83"/>
      <c r="M9" s="83"/>
      <c r="N9" s="83"/>
      <c r="O9" s="83"/>
      <c r="P9" s="83"/>
      <c r="Q9" s="83"/>
      <c r="R9" s="83"/>
      <c r="S9" s="83"/>
      <c r="T9" s="83"/>
      <c r="U9" s="83"/>
    </row>
    <row r="10" spans="1:21" x14ac:dyDescent="0.2">
      <c r="A10" s="103"/>
      <c r="B10" s="106"/>
      <c r="C10" s="106"/>
      <c r="D10" s="106"/>
      <c r="E10" s="83"/>
      <c r="F10" s="83"/>
      <c r="G10" s="83"/>
      <c r="H10" s="83"/>
      <c r="I10" s="83"/>
      <c r="J10" s="83"/>
      <c r="K10" s="83"/>
      <c r="L10" s="83"/>
      <c r="M10" s="83"/>
      <c r="N10" s="83"/>
      <c r="O10" s="83"/>
      <c r="P10" s="83"/>
      <c r="Q10" s="83"/>
      <c r="R10" s="83"/>
      <c r="S10" s="83"/>
      <c r="T10" s="83"/>
      <c r="U10" s="83"/>
    </row>
    <row r="11" spans="1:21" x14ac:dyDescent="0.2">
      <c r="A11" s="103"/>
      <c r="B11" s="103" t="s">
        <v>89</v>
      </c>
      <c r="C11" s="103" t="s">
        <v>144</v>
      </c>
      <c r="D11" s="103" t="s">
        <v>151</v>
      </c>
      <c r="E11" s="83"/>
      <c r="F11" s="83"/>
      <c r="G11" s="83"/>
      <c r="H11" s="83"/>
      <c r="I11" s="83"/>
      <c r="J11" s="83"/>
      <c r="K11" s="83"/>
      <c r="L11" s="83"/>
      <c r="M11" s="83"/>
      <c r="N11" s="83"/>
      <c r="O11" s="83"/>
      <c r="P11" s="83"/>
      <c r="Q11" s="83"/>
      <c r="R11" s="83"/>
      <c r="S11" s="83"/>
      <c r="T11" s="83"/>
      <c r="U11" s="83"/>
    </row>
    <row r="12" spans="1:21" x14ac:dyDescent="0.2">
      <c r="A12" s="103"/>
      <c r="B12" s="103" t="s">
        <v>87</v>
      </c>
      <c r="C12" s="103" t="s">
        <v>148</v>
      </c>
      <c r="D12" s="103" t="s">
        <v>152</v>
      </c>
      <c r="E12" s="83"/>
      <c r="F12" s="83"/>
      <c r="G12" s="83"/>
      <c r="H12" s="83"/>
      <c r="I12" s="83"/>
      <c r="J12" s="83"/>
      <c r="K12" s="83"/>
      <c r="L12" s="83"/>
      <c r="M12" s="83"/>
      <c r="N12" s="83"/>
      <c r="O12" s="83"/>
      <c r="P12" s="83"/>
      <c r="Q12" s="83"/>
      <c r="R12" s="83"/>
      <c r="S12" s="83"/>
      <c r="T12" s="83"/>
      <c r="U12" s="83"/>
    </row>
    <row r="13" spans="1:21" x14ac:dyDescent="0.2">
      <c r="A13" s="103"/>
      <c r="B13" s="103"/>
      <c r="C13" s="103" t="s">
        <v>147</v>
      </c>
      <c r="D13" s="103" t="s">
        <v>153</v>
      </c>
      <c r="E13" s="83"/>
      <c r="F13" s="83"/>
      <c r="G13" s="83"/>
      <c r="H13" s="83"/>
      <c r="I13" s="83"/>
      <c r="J13" s="83"/>
      <c r="K13" s="83"/>
      <c r="L13" s="83"/>
      <c r="M13" s="83"/>
      <c r="N13" s="83"/>
      <c r="O13" s="83"/>
      <c r="P13" s="83"/>
      <c r="Q13" s="83"/>
      <c r="R13" s="83"/>
      <c r="S13" s="83"/>
      <c r="T13" s="83"/>
      <c r="U13" s="83"/>
    </row>
    <row r="14" spans="1:21" x14ac:dyDescent="0.2">
      <c r="A14" s="103"/>
      <c r="B14" s="103"/>
      <c r="C14" s="103" t="s">
        <v>149</v>
      </c>
      <c r="D14" s="103" t="s">
        <v>154</v>
      </c>
      <c r="E14" s="83"/>
      <c r="F14" s="83"/>
      <c r="G14" s="83"/>
      <c r="H14" s="83"/>
      <c r="I14" s="83"/>
      <c r="J14" s="83"/>
      <c r="K14" s="83"/>
      <c r="L14" s="83"/>
      <c r="M14" s="83"/>
      <c r="N14" s="83"/>
      <c r="O14" s="83"/>
      <c r="P14" s="83"/>
      <c r="Q14" s="83"/>
      <c r="R14" s="83"/>
      <c r="S14" s="83"/>
      <c r="T14" s="83"/>
      <c r="U14" s="83"/>
    </row>
    <row r="15" spans="1:21" x14ac:dyDescent="0.2">
      <c r="A15" s="103"/>
      <c r="B15" s="103"/>
      <c r="C15" s="103" t="s">
        <v>150</v>
      </c>
      <c r="D15" s="103" t="s">
        <v>155</v>
      </c>
      <c r="E15" s="83"/>
      <c r="F15" s="83"/>
      <c r="G15" s="83"/>
      <c r="H15" s="83"/>
      <c r="I15" s="83"/>
      <c r="J15" s="83"/>
      <c r="K15" s="83"/>
      <c r="L15" s="83"/>
      <c r="M15" s="83"/>
      <c r="N15" s="83"/>
      <c r="O15" s="83"/>
      <c r="P15" s="83"/>
      <c r="Q15" s="83"/>
      <c r="R15" s="83"/>
      <c r="S15" s="83"/>
      <c r="T15" s="83"/>
      <c r="U15" s="83"/>
    </row>
    <row r="16" spans="1:21" x14ac:dyDescent="0.2">
      <c r="A16" s="103"/>
      <c r="B16" s="103"/>
      <c r="C16" s="103"/>
      <c r="D16" s="103"/>
      <c r="E16" s="83"/>
      <c r="F16" s="83"/>
      <c r="G16" s="83"/>
      <c r="H16" s="83"/>
      <c r="I16" s="83"/>
      <c r="J16" s="83"/>
      <c r="K16" s="83"/>
      <c r="L16" s="83"/>
      <c r="M16" s="83"/>
      <c r="N16" s="83"/>
      <c r="O16" s="83"/>
    </row>
    <row r="17" spans="1:15" x14ac:dyDescent="0.2">
      <c r="A17" s="103"/>
      <c r="B17" s="103"/>
      <c r="C17" s="103"/>
      <c r="D17" s="103"/>
      <c r="E17" s="83"/>
      <c r="F17" s="83"/>
      <c r="G17" s="83"/>
      <c r="H17" s="83"/>
      <c r="I17" s="83"/>
      <c r="J17" s="83"/>
      <c r="K17" s="83"/>
      <c r="L17" s="83"/>
      <c r="M17" s="83"/>
      <c r="N17" s="83"/>
      <c r="O17" s="83"/>
    </row>
    <row r="18" spans="1:15" x14ac:dyDescent="0.2">
      <c r="A18" s="103"/>
      <c r="B18" s="107"/>
      <c r="C18" s="107"/>
      <c r="D18" s="107"/>
      <c r="E18" s="83"/>
      <c r="F18" s="83"/>
      <c r="G18" s="83"/>
      <c r="H18" s="83"/>
      <c r="I18" s="83"/>
      <c r="J18" s="83"/>
      <c r="K18" s="83"/>
      <c r="L18" s="83"/>
      <c r="M18" s="83"/>
      <c r="N18" s="83"/>
      <c r="O18" s="83"/>
    </row>
    <row r="19" spans="1:15" x14ac:dyDescent="0.2">
      <c r="A19" s="103"/>
      <c r="B19" s="107"/>
      <c r="C19" s="107"/>
      <c r="D19" s="107"/>
      <c r="E19" s="83"/>
      <c r="F19" s="83"/>
      <c r="G19" s="83"/>
      <c r="H19" s="83"/>
      <c r="I19" s="83"/>
      <c r="J19" s="83"/>
      <c r="K19" s="83"/>
      <c r="L19" s="83"/>
      <c r="M19" s="83"/>
      <c r="N19" s="83"/>
      <c r="O19" s="83"/>
    </row>
    <row r="20" spans="1:15" x14ac:dyDescent="0.2">
      <c r="A20" s="103"/>
      <c r="B20" s="107"/>
      <c r="C20" s="107"/>
      <c r="D20" s="107"/>
      <c r="E20" s="83"/>
      <c r="F20" s="83"/>
      <c r="G20" s="83"/>
      <c r="H20" s="83"/>
      <c r="I20" s="83"/>
      <c r="J20" s="83"/>
      <c r="K20" s="83"/>
      <c r="L20" s="83"/>
      <c r="M20" s="83"/>
      <c r="N20" s="83"/>
      <c r="O20" s="83"/>
    </row>
    <row r="21" spans="1:15" x14ac:dyDescent="0.2">
      <c r="A21" s="103"/>
      <c r="B21" s="107"/>
      <c r="C21" s="107"/>
      <c r="D21" s="107"/>
      <c r="E21" s="83"/>
      <c r="F21" s="83"/>
      <c r="G21" s="83"/>
      <c r="H21" s="83"/>
      <c r="I21" s="83"/>
      <c r="J21" s="83"/>
      <c r="K21" s="83"/>
      <c r="L21" s="83"/>
      <c r="M21" s="83"/>
      <c r="N21" s="83"/>
      <c r="O21" s="83"/>
    </row>
    <row r="22" spans="1:15" ht="20" x14ac:dyDescent="0.2">
      <c r="A22" s="103"/>
      <c r="B22" s="103"/>
      <c r="C22" s="105"/>
      <c r="D22" s="105"/>
      <c r="E22" s="83"/>
      <c r="F22" s="83"/>
      <c r="G22" s="83"/>
      <c r="H22" s="83"/>
      <c r="I22" s="83"/>
      <c r="J22" s="83"/>
      <c r="K22" s="83"/>
      <c r="L22" s="83"/>
      <c r="M22" s="83"/>
      <c r="N22" s="83"/>
      <c r="O22" s="83"/>
    </row>
    <row r="23" spans="1:15" ht="20" x14ac:dyDescent="0.2">
      <c r="A23" s="103"/>
      <c r="B23" s="103"/>
      <c r="C23" s="105"/>
      <c r="D23" s="105"/>
      <c r="E23" s="83"/>
      <c r="F23" s="83"/>
      <c r="G23" s="83"/>
      <c r="H23" s="83"/>
      <c r="I23" s="83"/>
      <c r="J23" s="83"/>
      <c r="K23" s="83"/>
      <c r="L23" s="83"/>
      <c r="M23" s="83"/>
      <c r="N23" s="83"/>
      <c r="O23" s="83"/>
    </row>
    <row r="24" spans="1:15" ht="20" x14ac:dyDescent="0.2">
      <c r="A24" s="103"/>
      <c r="B24" s="103"/>
      <c r="C24" s="105"/>
      <c r="D24" s="105"/>
      <c r="E24" s="83"/>
      <c r="F24" s="83"/>
      <c r="G24" s="83"/>
      <c r="H24" s="83"/>
      <c r="I24" s="83"/>
      <c r="J24" s="83"/>
      <c r="K24" s="83"/>
      <c r="L24" s="83"/>
      <c r="M24" s="83"/>
      <c r="N24" s="83"/>
      <c r="O24" s="83"/>
    </row>
    <row r="25" spans="1:15" ht="20" x14ac:dyDescent="0.2">
      <c r="A25" s="103"/>
      <c r="B25" s="103"/>
      <c r="C25" s="105"/>
      <c r="D25" s="105"/>
      <c r="E25" s="83"/>
      <c r="F25" s="83"/>
      <c r="G25" s="83"/>
      <c r="H25" s="83"/>
      <c r="I25" s="83"/>
      <c r="J25" s="83"/>
      <c r="K25" s="83"/>
      <c r="L25" s="83"/>
      <c r="M25" s="83"/>
      <c r="N25" s="83"/>
      <c r="O25" s="83"/>
    </row>
    <row r="26" spans="1:15" ht="20" x14ac:dyDescent="0.2">
      <c r="A26" s="103"/>
      <c r="B26" s="103"/>
      <c r="C26" s="105"/>
      <c r="D26" s="105"/>
      <c r="E26" s="83"/>
      <c r="F26" s="83"/>
      <c r="G26" s="83"/>
      <c r="H26" s="83"/>
      <c r="I26" s="83"/>
      <c r="J26" s="83"/>
      <c r="K26" s="83"/>
      <c r="L26" s="83"/>
      <c r="M26" s="83"/>
      <c r="N26" s="83"/>
      <c r="O26" s="83"/>
    </row>
    <row r="27" spans="1:15" ht="20" x14ac:dyDescent="0.2">
      <c r="A27" s="103"/>
      <c r="B27" s="103"/>
      <c r="C27" s="105"/>
      <c r="D27" s="105"/>
      <c r="E27" s="83"/>
      <c r="F27" s="83"/>
      <c r="G27" s="83"/>
      <c r="H27" s="83"/>
      <c r="I27" s="83"/>
      <c r="J27" s="83"/>
      <c r="K27" s="83"/>
      <c r="L27" s="83"/>
      <c r="M27" s="83"/>
      <c r="N27" s="83"/>
      <c r="O27" s="83"/>
    </row>
    <row r="28" spans="1:15" ht="20" x14ac:dyDescent="0.2">
      <c r="A28" s="103"/>
      <c r="B28" s="103"/>
      <c r="C28" s="105"/>
      <c r="D28" s="105"/>
      <c r="E28" s="83"/>
      <c r="F28" s="83"/>
      <c r="G28" s="83"/>
      <c r="H28" s="83"/>
      <c r="I28" s="83"/>
      <c r="J28" s="83"/>
      <c r="K28" s="83"/>
      <c r="L28" s="83"/>
      <c r="M28" s="83"/>
      <c r="N28" s="83"/>
      <c r="O28" s="83"/>
    </row>
    <row r="29" spans="1:15" ht="20" x14ac:dyDescent="0.2">
      <c r="A29" s="103"/>
      <c r="B29" s="103"/>
      <c r="C29" s="105"/>
      <c r="D29" s="105"/>
      <c r="E29" s="83"/>
      <c r="F29" s="83"/>
      <c r="G29" s="83"/>
      <c r="H29" s="83"/>
      <c r="I29" s="83"/>
      <c r="J29" s="83"/>
      <c r="K29" s="83"/>
      <c r="L29" s="83"/>
      <c r="M29" s="83"/>
      <c r="N29" s="83"/>
      <c r="O29" s="83"/>
    </row>
    <row r="30" spans="1:15" ht="20" x14ac:dyDescent="0.2">
      <c r="A30" s="103"/>
      <c r="B30" s="103"/>
      <c r="C30" s="105"/>
      <c r="D30" s="105"/>
      <c r="E30" s="83"/>
      <c r="F30" s="83"/>
      <c r="G30" s="83"/>
      <c r="H30" s="83"/>
      <c r="I30" s="83"/>
      <c r="J30" s="83"/>
      <c r="K30" s="83"/>
      <c r="L30" s="83"/>
      <c r="M30" s="83"/>
      <c r="N30" s="83"/>
      <c r="O30" s="83"/>
    </row>
    <row r="31" spans="1:15" ht="20" x14ac:dyDescent="0.2">
      <c r="A31" s="103"/>
      <c r="B31" s="103"/>
      <c r="C31" s="105"/>
      <c r="D31" s="105"/>
      <c r="E31" s="83"/>
      <c r="F31" s="83"/>
      <c r="G31" s="83"/>
      <c r="H31" s="83"/>
      <c r="I31" s="83"/>
      <c r="J31" s="83"/>
      <c r="K31" s="83"/>
      <c r="L31" s="83"/>
      <c r="M31" s="83"/>
      <c r="N31" s="83"/>
      <c r="O31" s="83"/>
    </row>
    <row r="32" spans="1:15" ht="20" x14ac:dyDescent="0.2">
      <c r="A32" s="103"/>
      <c r="B32" s="103"/>
      <c r="C32" s="105"/>
      <c r="D32" s="105"/>
      <c r="E32" s="83"/>
      <c r="F32" s="83"/>
      <c r="G32" s="83"/>
      <c r="H32" s="83"/>
      <c r="I32" s="83"/>
      <c r="J32" s="83"/>
      <c r="K32" s="83"/>
      <c r="L32" s="83"/>
      <c r="M32" s="83"/>
      <c r="N32" s="83"/>
      <c r="O32" s="83"/>
    </row>
    <row r="33" spans="1:15" ht="20" x14ac:dyDescent="0.2">
      <c r="A33" s="103"/>
      <c r="B33" s="103"/>
      <c r="C33" s="105"/>
      <c r="D33" s="105"/>
      <c r="E33" s="83"/>
      <c r="F33" s="83"/>
      <c r="G33" s="83"/>
      <c r="H33" s="83"/>
      <c r="I33" s="83"/>
      <c r="J33" s="83"/>
      <c r="K33" s="83"/>
      <c r="L33" s="83"/>
      <c r="M33" s="83"/>
      <c r="N33" s="83"/>
      <c r="O33" s="83"/>
    </row>
    <row r="34" spans="1:15" ht="20" x14ac:dyDescent="0.2">
      <c r="A34" s="103"/>
      <c r="B34" s="103"/>
      <c r="C34" s="105"/>
      <c r="D34" s="105"/>
      <c r="E34" s="83"/>
      <c r="F34" s="83"/>
      <c r="G34" s="83"/>
      <c r="H34" s="83"/>
      <c r="I34" s="83"/>
      <c r="J34" s="83"/>
      <c r="K34" s="83"/>
      <c r="L34" s="83"/>
      <c r="M34" s="83"/>
      <c r="N34" s="83"/>
      <c r="O34" s="83"/>
    </row>
    <row r="35" spans="1:15" ht="20" x14ac:dyDescent="0.2">
      <c r="A35" s="103"/>
      <c r="B35" s="103"/>
      <c r="C35" s="105"/>
      <c r="D35" s="105"/>
      <c r="E35" s="83"/>
      <c r="F35" s="83"/>
      <c r="G35" s="83"/>
      <c r="H35" s="83"/>
      <c r="I35" s="83"/>
      <c r="J35" s="83"/>
      <c r="K35" s="83"/>
      <c r="L35" s="83"/>
      <c r="M35" s="83"/>
      <c r="N35" s="83"/>
      <c r="O35" s="83"/>
    </row>
    <row r="36" spans="1:15" ht="20" x14ac:dyDescent="0.2">
      <c r="A36" s="103"/>
      <c r="B36" s="103"/>
      <c r="C36" s="105"/>
      <c r="D36" s="105"/>
      <c r="E36" s="83"/>
      <c r="F36" s="83"/>
      <c r="G36" s="83"/>
      <c r="H36" s="83"/>
      <c r="I36" s="83"/>
      <c r="J36" s="83"/>
      <c r="K36" s="83"/>
      <c r="L36" s="83"/>
      <c r="M36" s="83"/>
      <c r="N36" s="83"/>
      <c r="O36" s="83"/>
    </row>
    <row r="37" spans="1:15" ht="20" x14ac:dyDescent="0.2">
      <c r="A37" s="103"/>
      <c r="B37" s="103"/>
      <c r="C37" s="105"/>
      <c r="D37" s="105"/>
      <c r="E37" s="83"/>
      <c r="F37" s="83"/>
      <c r="G37" s="83"/>
      <c r="H37" s="83"/>
      <c r="I37" s="83"/>
      <c r="J37" s="83"/>
      <c r="K37" s="83"/>
      <c r="L37" s="83"/>
      <c r="M37" s="83"/>
      <c r="N37" s="83"/>
      <c r="O37" s="83"/>
    </row>
    <row r="38" spans="1:15" ht="20" x14ac:dyDescent="0.2">
      <c r="A38" s="103"/>
      <c r="B38" s="103"/>
      <c r="C38" s="105"/>
      <c r="D38" s="105"/>
      <c r="E38" s="83"/>
      <c r="F38" s="83"/>
      <c r="G38" s="83"/>
      <c r="H38" s="83"/>
      <c r="I38" s="83"/>
      <c r="J38" s="83"/>
      <c r="K38" s="83"/>
      <c r="L38" s="83"/>
      <c r="M38" s="83"/>
      <c r="N38" s="83"/>
      <c r="O38" s="83"/>
    </row>
    <row r="39" spans="1:15" ht="20" x14ac:dyDescent="0.2">
      <c r="A39" s="103"/>
      <c r="B39" s="103"/>
      <c r="C39" s="105"/>
      <c r="D39" s="105"/>
      <c r="E39" s="83"/>
      <c r="F39" s="83"/>
      <c r="G39" s="83"/>
      <c r="H39" s="83"/>
      <c r="I39" s="83"/>
      <c r="J39" s="83"/>
      <c r="K39" s="83"/>
      <c r="L39" s="83"/>
      <c r="M39" s="83"/>
      <c r="N39" s="83"/>
      <c r="O39" s="83"/>
    </row>
    <row r="40" spans="1:15" ht="20" x14ac:dyDescent="0.2">
      <c r="A40" s="103"/>
      <c r="B40" s="103"/>
      <c r="C40" s="105"/>
      <c r="D40" s="105"/>
      <c r="E40" s="83"/>
      <c r="F40" s="83"/>
      <c r="G40" s="83"/>
      <c r="H40" s="83"/>
      <c r="I40" s="83"/>
      <c r="J40" s="83"/>
      <c r="K40" s="83"/>
      <c r="L40" s="83"/>
      <c r="M40" s="83"/>
      <c r="N40" s="83"/>
      <c r="O40" s="83"/>
    </row>
    <row r="41" spans="1:15" ht="20" x14ac:dyDescent="0.2">
      <c r="A41" s="103"/>
      <c r="B41" s="103"/>
      <c r="C41" s="105"/>
      <c r="D41" s="105"/>
      <c r="E41" s="83"/>
      <c r="F41" s="83"/>
      <c r="G41" s="83"/>
      <c r="H41" s="83"/>
      <c r="I41" s="83"/>
      <c r="J41" s="83"/>
      <c r="K41" s="83"/>
      <c r="L41" s="83"/>
      <c r="M41" s="83"/>
      <c r="N41" s="83"/>
      <c r="O41" s="83"/>
    </row>
    <row r="42" spans="1:15" ht="20" x14ac:dyDescent="0.2">
      <c r="A42" s="103"/>
      <c r="B42" s="103"/>
      <c r="C42" s="105"/>
      <c r="D42" s="105"/>
      <c r="E42" s="83"/>
      <c r="F42" s="83"/>
      <c r="G42" s="83"/>
      <c r="H42" s="83"/>
      <c r="I42" s="83"/>
      <c r="J42" s="83"/>
      <c r="K42" s="83"/>
      <c r="L42" s="83"/>
      <c r="M42" s="83"/>
      <c r="N42" s="83"/>
      <c r="O42" s="83"/>
    </row>
    <row r="43" spans="1:15" ht="20" x14ac:dyDescent="0.2">
      <c r="A43" s="103"/>
      <c r="B43" s="103"/>
      <c r="C43" s="105"/>
      <c r="D43" s="105"/>
      <c r="E43" s="83"/>
      <c r="F43" s="83"/>
      <c r="G43" s="83"/>
      <c r="H43" s="83"/>
      <c r="I43" s="83"/>
      <c r="J43" s="83"/>
      <c r="K43" s="83"/>
      <c r="L43" s="83"/>
      <c r="M43" s="83"/>
      <c r="N43" s="83"/>
      <c r="O43" s="83"/>
    </row>
    <row r="44" spans="1:15" ht="20" x14ac:dyDescent="0.2">
      <c r="A44" s="103"/>
      <c r="B44" s="103"/>
      <c r="C44" s="105"/>
      <c r="D44" s="105"/>
      <c r="E44" s="83"/>
      <c r="F44" s="83"/>
      <c r="G44" s="83"/>
      <c r="H44" s="83"/>
      <c r="I44" s="83"/>
      <c r="J44" s="83"/>
      <c r="K44" s="83"/>
      <c r="L44" s="83"/>
      <c r="M44" s="83"/>
      <c r="N44" s="83"/>
      <c r="O44" s="83"/>
    </row>
    <row r="45" spans="1:15" ht="20" x14ac:dyDescent="0.2">
      <c r="A45" s="103"/>
      <c r="B45" s="103"/>
      <c r="C45" s="105"/>
      <c r="D45" s="105"/>
      <c r="E45" s="83"/>
      <c r="F45" s="83"/>
      <c r="G45" s="83"/>
      <c r="H45" s="83"/>
      <c r="I45" s="83"/>
      <c r="J45" s="83"/>
      <c r="K45" s="83"/>
      <c r="L45" s="83"/>
      <c r="M45" s="83"/>
      <c r="N45" s="83"/>
      <c r="O45" s="83"/>
    </row>
    <row r="46" spans="1:15" ht="20" x14ac:dyDescent="0.2">
      <c r="A46" s="103"/>
      <c r="B46" s="103"/>
      <c r="C46" s="105"/>
      <c r="D46" s="105"/>
      <c r="E46" s="83"/>
      <c r="F46" s="83"/>
      <c r="G46" s="83"/>
      <c r="H46" s="83"/>
      <c r="I46" s="83"/>
      <c r="J46" s="83"/>
      <c r="K46" s="83"/>
      <c r="L46" s="83"/>
      <c r="M46" s="83"/>
      <c r="N46" s="83"/>
      <c r="O46" s="83"/>
    </row>
    <row r="47" spans="1:15" ht="20" x14ac:dyDescent="0.2">
      <c r="A47" s="103"/>
      <c r="B47" s="103"/>
      <c r="C47" s="105"/>
      <c r="D47" s="105"/>
      <c r="E47" s="83"/>
      <c r="F47" s="83"/>
      <c r="G47" s="83"/>
      <c r="H47" s="83"/>
      <c r="I47" s="83"/>
      <c r="J47" s="83"/>
      <c r="K47" s="83"/>
      <c r="L47" s="83"/>
      <c r="M47" s="83"/>
      <c r="N47" s="83"/>
      <c r="O47" s="83"/>
    </row>
    <row r="48" spans="1:15" ht="20" x14ac:dyDescent="0.2">
      <c r="A48" s="103"/>
      <c r="B48" s="103"/>
      <c r="C48" s="105"/>
      <c r="D48" s="105"/>
      <c r="E48" s="83"/>
      <c r="F48" s="83"/>
      <c r="G48" s="83"/>
      <c r="H48" s="83"/>
      <c r="I48" s="83"/>
      <c r="J48" s="83"/>
      <c r="K48" s="83"/>
      <c r="L48" s="83"/>
      <c r="M48" s="83"/>
      <c r="N48" s="83"/>
      <c r="O48" s="83"/>
    </row>
    <row r="49" spans="1:15" ht="20" x14ac:dyDescent="0.2">
      <c r="A49" s="103"/>
      <c r="B49" s="103"/>
      <c r="C49" s="105"/>
      <c r="D49" s="105"/>
      <c r="E49" s="83"/>
      <c r="F49" s="83"/>
      <c r="G49" s="83"/>
      <c r="H49" s="83"/>
      <c r="I49" s="83"/>
      <c r="J49" s="83"/>
      <c r="K49" s="83"/>
      <c r="L49" s="83"/>
      <c r="M49" s="83"/>
      <c r="N49" s="83"/>
      <c r="O49" s="83"/>
    </row>
    <row r="50" spans="1:15" ht="20" x14ac:dyDescent="0.2">
      <c r="A50" s="103"/>
      <c r="B50" s="103"/>
      <c r="C50" s="105"/>
      <c r="D50" s="105"/>
      <c r="E50" s="83"/>
      <c r="F50" s="83"/>
      <c r="G50" s="83"/>
      <c r="H50" s="83"/>
      <c r="I50" s="83"/>
      <c r="J50" s="83"/>
      <c r="K50" s="83"/>
      <c r="L50" s="83"/>
      <c r="M50" s="83"/>
      <c r="N50" s="83"/>
      <c r="O50" s="83"/>
    </row>
    <row r="51" spans="1:15" ht="20" x14ac:dyDescent="0.2">
      <c r="A51" s="103"/>
      <c r="B51" s="103"/>
      <c r="C51" s="105"/>
      <c r="D51" s="105"/>
      <c r="E51" s="83"/>
      <c r="F51" s="83"/>
      <c r="G51" s="83"/>
      <c r="H51" s="83"/>
      <c r="I51" s="83"/>
      <c r="J51" s="83"/>
      <c r="K51" s="83"/>
      <c r="L51" s="83"/>
      <c r="M51" s="83"/>
      <c r="N51" s="83"/>
      <c r="O51" s="83"/>
    </row>
    <row r="52" spans="1:15" ht="20" x14ac:dyDescent="0.2">
      <c r="A52" s="103"/>
      <c r="B52" s="23"/>
      <c r="C52" s="34"/>
      <c r="D52" s="34"/>
    </row>
    <row r="53" spans="1:15" ht="20" x14ac:dyDescent="0.2">
      <c r="A53" s="103"/>
      <c r="B53" s="23"/>
      <c r="C53" s="34"/>
      <c r="D53" s="34"/>
    </row>
    <row r="54" spans="1:15" ht="20" x14ac:dyDescent="0.2">
      <c r="A54" s="103"/>
      <c r="B54" s="23"/>
      <c r="C54" s="34"/>
      <c r="D54" s="34"/>
    </row>
    <row r="55" spans="1:15" ht="20" x14ac:dyDescent="0.2">
      <c r="A55" s="103"/>
      <c r="B55" s="23"/>
      <c r="C55" s="34"/>
      <c r="D55" s="34"/>
    </row>
    <row r="56" spans="1:15" ht="20" x14ac:dyDescent="0.2">
      <c r="A56" s="103"/>
      <c r="B56" s="23"/>
      <c r="C56" s="34"/>
      <c r="D56" s="34"/>
    </row>
    <row r="57" spans="1:15" ht="20" x14ac:dyDescent="0.2">
      <c r="A57" s="103"/>
      <c r="B57" s="23"/>
      <c r="C57" s="34"/>
      <c r="D57" s="34"/>
    </row>
    <row r="58" spans="1:15" ht="20" x14ac:dyDescent="0.2">
      <c r="A58" s="103"/>
      <c r="B58" s="23"/>
      <c r="C58" s="34"/>
      <c r="D58" s="34"/>
    </row>
    <row r="59" spans="1:15" ht="20" x14ac:dyDescent="0.2">
      <c r="A59" s="103"/>
      <c r="B59" s="23"/>
      <c r="C59" s="34"/>
      <c r="D59" s="34"/>
    </row>
    <row r="60" spans="1:15" ht="20" x14ac:dyDescent="0.2">
      <c r="A60" s="103"/>
      <c r="B60" s="23"/>
      <c r="C60" s="34"/>
      <c r="D60" s="34"/>
    </row>
    <row r="61" spans="1:15" ht="20" x14ac:dyDescent="0.2">
      <c r="A61" s="103"/>
      <c r="B61" s="23"/>
      <c r="C61" s="34"/>
      <c r="D61" s="34"/>
    </row>
    <row r="62" spans="1:15" ht="20" x14ac:dyDescent="0.2">
      <c r="A62" s="103"/>
      <c r="B62" s="23"/>
      <c r="C62" s="34"/>
      <c r="D62" s="34"/>
    </row>
    <row r="63" spans="1:15" ht="20" x14ac:dyDescent="0.2">
      <c r="A63" s="103"/>
      <c r="B63" s="23"/>
      <c r="C63" s="34"/>
      <c r="D63" s="34"/>
    </row>
    <row r="64" spans="1:15" ht="20" x14ac:dyDescent="0.2">
      <c r="A64" s="103"/>
      <c r="B64" s="23"/>
      <c r="C64" s="34"/>
      <c r="D64" s="34"/>
    </row>
    <row r="65" spans="1:4" ht="20" x14ac:dyDescent="0.2">
      <c r="A65" s="103"/>
      <c r="B65" s="23"/>
      <c r="C65" s="34"/>
      <c r="D65" s="34"/>
    </row>
    <row r="66" spans="1:4" ht="20" x14ac:dyDescent="0.2">
      <c r="A66" s="103"/>
      <c r="B66" s="23"/>
      <c r="C66" s="34"/>
      <c r="D66" s="34"/>
    </row>
    <row r="67" spans="1:4" ht="20" x14ac:dyDescent="0.2">
      <c r="A67" s="103"/>
      <c r="B67" s="23"/>
      <c r="C67" s="34"/>
      <c r="D67" s="34"/>
    </row>
    <row r="68" spans="1:4" ht="20" x14ac:dyDescent="0.2">
      <c r="A68" s="103"/>
      <c r="B68" s="23"/>
      <c r="C68" s="34"/>
      <c r="D68" s="34"/>
    </row>
    <row r="69" spans="1:4" ht="20" x14ac:dyDescent="0.2">
      <c r="A69" s="103"/>
      <c r="B69" s="23"/>
      <c r="C69" s="34"/>
      <c r="D69" s="34"/>
    </row>
    <row r="70" spans="1:4" ht="20" x14ac:dyDescent="0.2">
      <c r="A70" s="103"/>
      <c r="B70" s="23"/>
      <c r="C70" s="34"/>
      <c r="D70" s="34"/>
    </row>
    <row r="71" spans="1:4" ht="20" x14ac:dyDescent="0.2">
      <c r="A71" s="103"/>
      <c r="B71" s="23"/>
      <c r="C71" s="34"/>
      <c r="D71" s="34"/>
    </row>
    <row r="72" spans="1:4" ht="20" x14ac:dyDescent="0.2">
      <c r="A72" s="103"/>
      <c r="B72" s="23"/>
      <c r="C72" s="34"/>
      <c r="D72" s="34"/>
    </row>
    <row r="73" spans="1:4" ht="20" x14ac:dyDescent="0.2">
      <c r="A73" s="103"/>
      <c r="B73" s="23"/>
      <c r="C73" s="34"/>
      <c r="D73" s="34"/>
    </row>
    <row r="74" spans="1:4" ht="20" x14ac:dyDescent="0.2">
      <c r="A74" s="103"/>
      <c r="B74" s="23"/>
      <c r="C74" s="34"/>
      <c r="D74" s="34"/>
    </row>
    <row r="75" spans="1:4" ht="20" x14ac:dyDescent="0.2">
      <c r="A75" s="103"/>
      <c r="B75" s="23"/>
      <c r="C75" s="34"/>
      <c r="D75" s="34"/>
    </row>
    <row r="76" spans="1:4" ht="20" x14ac:dyDescent="0.2">
      <c r="A76" s="103"/>
      <c r="B76" s="23"/>
      <c r="C76" s="34"/>
      <c r="D76" s="34"/>
    </row>
    <row r="77" spans="1:4" ht="20" x14ac:dyDescent="0.2">
      <c r="A77" s="103"/>
      <c r="B77" s="23"/>
      <c r="C77" s="34"/>
      <c r="D77" s="34"/>
    </row>
    <row r="78" spans="1:4" ht="20" x14ac:dyDescent="0.2">
      <c r="A78" s="103"/>
      <c r="B78" s="23"/>
      <c r="C78" s="34"/>
      <c r="D78" s="34"/>
    </row>
    <row r="79" spans="1:4" ht="20" x14ac:dyDescent="0.2">
      <c r="A79" s="103"/>
      <c r="B79" s="23"/>
      <c r="C79" s="34"/>
      <c r="D79" s="34"/>
    </row>
    <row r="80" spans="1:4" ht="20" x14ac:dyDescent="0.2">
      <c r="A80" s="103"/>
      <c r="B80" s="23"/>
      <c r="C80" s="34"/>
      <c r="D80" s="34"/>
    </row>
    <row r="81" spans="1:4" ht="20" x14ac:dyDescent="0.2">
      <c r="A81" s="103"/>
      <c r="B81" s="23"/>
      <c r="C81" s="34"/>
      <c r="D81" s="34"/>
    </row>
    <row r="82" spans="1:4" ht="20" x14ac:dyDescent="0.2">
      <c r="A82" s="103"/>
      <c r="B82" s="23"/>
      <c r="C82" s="34"/>
      <c r="D82" s="34"/>
    </row>
    <row r="83" spans="1:4" ht="20" x14ac:dyDescent="0.2">
      <c r="A83" s="103"/>
      <c r="B83" s="23"/>
      <c r="C83" s="34"/>
      <c r="D83" s="34"/>
    </row>
    <row r="84" spans="1:4" ht="20" x14ac:dyDescent="0.2">
      <c r="A84" s="103"/>
      <c r="B84" s="23"/>
      <c r="C84" s="34"/>
      <c r="D84" s="34"/>
    </row>
    <row r="85" spans="1:4" ht="20" x14ac:dyDescent="0.2">
      <c r="A85" s="103"/>
      <c r="B85" s="23"/>
      <c r="C85" s="34"/>
      <c r="D85" s="34"/>
    </row>
    <row r="86" spans="1:4" ht="20" x14ac:dyDescent="0.2">
      <c r="A86" s="103"/>
      <c r="B86" s="23"/>
      <c r="C86" s="34"/>
      <c r="D86" s="34"/>
    </row>
    <row r="87" spans="1:4" ht="20" x14ac:dyDescent="0.2">
      <c r="A87" s="103"/>
      <c r="B87" s="23"/>
      <c r="C87" s="34"/>
      <c r="D87" s="34"/>
    </row>
    <row r="88" spans="1:4" ht="20" x14ac:dyDescent="0.2">
      <c r="A88" s="103"/>
      <c r="B88" s="23"/>
      <c r="C88" s="34"/>
      <c r="D88" s="34"/>
    </row>
    <row r="89" spans="1:4" ht="20" x14ac:dyDescent="0.2">
      <c r="A89" s="103"/>
      <c r="B89" s="23"/>
      <c r="C89" s="34"/>
      <c r="D89" s="34"/>
    </row>
    <row r="90" spans="1:4" ht="20" x14ac:dyDescent="0.2">
      <c r="A90" s="103"/>
      <c r="B90" s="23"/>
      <c r="C90" s="34"/>
      <c r="D90" s="34"/>
    </row>
    <row r="91" spans="1:4" ht="20" x14ac:dyDescent="0.2">
      <c r="A91" s="103"/>
      <c r="B91" s="23"/>
      <c r="C91" s="34"/>
      <c r="D91" s="34"/>
    </row>
    <row r="92" spans="1:4" ht="20" x14ac:dyDescent="0.2">
      <c r="A92" s="103"/>
      <c r="B92" s="23"/>
      <c r="C92" s="34"/>
      <c r="D92" s="34"/>
    </row>
    <row r="93" spans="1:4" ht="20" x14ac:dyDescent="0.2">
      <c r="A93" s="103"/>
      <c r="B93" s="23"/>
      <c r="C93" s="34"/>
      <c r="D93" s="34"/>
    </row>
    <row r="94" spans="1:4" ht="20" x14ac:dyDescent="0.2">
      <c r="A94" s="103"/>
      <c r="B94" s="23"/>
      <c r="C94" s="34"/>
      <c r="D94" s="34"/>
    </row>
    <row r="95" spans="1:4" ht="20" x14ac:dyDescent="0.2">
      <c r="A95" s="103"/>
      <c r="B95" s="23"/>
      <c r="C95" s="34"/>
      <c r="D95" s="34"/>
    </row>
    <row r="96" spans="1:4" ht="20" x14ac:dyDescent="0.2">
      <c r="A96" s="103"/>
      <c r="B96" s="23"/>
      <c r="C96" s="34"/>
      <c r="D96" s="34"/>
    </row>
    <row r="97" spans="1:4" ht="20" x14ac:dyDescent="0.2">
      <c r="A97" s="103"/>
      <c r="B97" s="23"/>
      <c r="C97" s="34"/>
      <c r="D97" s="34"/>
    </row>
    <row r="98" spans="1:4" ht="20" x14ac:dyDescent="0.2">
      <c r="A98" s="103"/>
      <c r="B98" s="23"/>
      <c r="C98" s="34"/>
      <c r="D98" s="34"/>
    </row>
    <row r="99" spans="1:4" ht="20" x14ac:dyDescent="0.2">
      <c r="A99" s="103"/>
      <c r="B99" s="23"/>
      <c r="C99" s="34"/>
      <c r="D99" s="34"/>
    </row>
    <row r="100" spans="1:4" ht="20" x14ac:dyDescent="0.2">
      <c r="A100" s="103"/>
      <c r="B100" s="23"/>
      <c r="C100" s="34"/>
      <c r="D100" s="34"/>
    </row>
    <row r="101" spans="1:4" ht="20" x14ac:dyDescent="0.2">
      <c r="A101" s="103"/>
      <c r="B101" s="23"/>
      <c r="C101" s="34"/>
      <c r="D101" s="34"/>
    </row>
    <row r="102" spans="1:4" ht="20" x14ac:dyDescent="0.2">
      <c r="A102" s="103"/>
      <c r="B102" s="23"/>
      <c r="C102" s="34"/>
      <c r="D102" s="34"/>
    </row>
    <row r="103" spans="1:4" ht="20" x14ac:dyDescent="0.2">
      <c r="A103" s="103"/>
      <c r="B103" s="23"/>
      <c r="C103" s="34"/>
      <c r="D103" s="34"/>
    </row>
    <row r="104" spans="1:4" ht="20" x14ac:dyDescent="0.2">
      <c r="A104" s="103"/>
      <c r="B104" s="23"/>
      <c r="C104" s="34"/>
      <c r="D104" s="34"/>
    </row>
    <row r="105" spans="1:4" ht="20" x14ac:dyDescent="0.2">
      <c r="A105" s="103"/>
      <c r="B105" s="23"/>
      <c r="C105" s="34"/>
      <c r="D105" s="34"/>
    </row>
    <row r="106" spans="1:4" ht="20" x14ac:dyDescent="0.2">
      <c r="A106" s="103"/>
      <c r="B106" s="23"/>
      <c r="C106" s="34"/>
      <c r="D106" s="34"/>
    </row>
    <row r="107" spans="1:4" ht="20" x14ac:dyDescent="0.2">
      <c r="A107" s="103"/>
      <c r="B107" s="23"/>
      <c r="C107" s="34"/>
      <c r="D107" s="34"/>
    </row>
    <row r="108" spans="1:4" ht="20" x14ac:dyDescent="0.2">
      <c r="A108" s="103"/>
      <c r="B108" s="23"/>
      <c r="C108" s="34"/>
      <c r="D108" s="34"/>
    </row>
    <row r="109" spans="1:4" ht="20" x14ac:dyDescent="0.2">
      <c r="A109" s="103"/>
      <c r="B109" s="23"/>
      <c r="C109" s="34"/>
      <c r="D109" s="34"/>
    </row>
    <row r="110" spans="1:4" ht="20" x14ac:dyDescent="0.2">
      <c r="A110" s="103"/>
      <c r="B110" s="23"/>
      <c r="C110" s="34"/>
      <c r="D110" s="34"/>
    </row>
    <row r="111" spans="1:4" ht="20" x14ac:dyDescent="0.2">
      <c r="A111" s="103"/>
      <c r="B111" s="23"/>
      <c r="C111" s="34"/>
      <c r="D111" s="34"/>
    </row>
    <row r="112" spans="1:4" ht="20" x14ac:dyDescent="0.2">
      <c r="A112" s="103"/>
      <c r="B112" s="23"/>
      <c r="C112" s="34"/>
      <c r="D112" s="34"/>
    </row>
    <row r="113" spans="1:4" ht="20" x14ac:dyDescent="0.2">
      <c r="A113" s="103"/>
      <c r="B113" s="23"/>
      <c r="C113" s="34"/>
      <c r="D113" s="34"/>
    </row>
    <row r="114" spans="1:4" ht="20" x14ac:dyDescent="0.2">
      <c r="A114" s="103"/>
      <c r="B114" s="23"/>
      <c r="C114" s="34"/>
      <c r="D114" s="34"/>
    </row>
    <row r="115" spans="1:4" ht="20" x14ac:dyDescent="0.2">
      <c r="A115" s="103"/>
      <c r="B115" s="23"/>
      <c r="C115" s="34"/>
      <c r="D115" s="34"/>
    </row>
    <row r="116" spans="1:4" ht="20" x14ac:dyDescent="0.2">
      <c r="A116" s="103"/>
      <c r="B116" s="23"/>
      <c r="C116" s="34"/>
      <c r="D116" s="34"/>
    </row>
    <row r="117" spans="1:4" ht="20" x14ac:dyDescent="0.2">
      <c r="A117" s="103"/>
      <c r="B117" s="23"/>
      <c r="C117" s="34"/>
      <c r="D117" s="34"/>
    </row>
    <row r="118" spans="1:4" ht="20" x14ac:dyDescent="0.2">
      <c r="A118" s="103"/>
      <c r="B118" s="23"/>
      <c r="C118" s="34"/>
      <c r="D118" s="34"/>
    </row>
    <row r="119" spans="1:4" ht="20" x14ac:dyDescent="0.2">
      <c r="A119" s="103"/>
      <c r="B119" s="23"/>
      <c r="C119" s="34"/>
      <c r="D119" s="34"/>
    </row>
    <row r="120" spans="1:4" ht="20" x14ac:dyDescent="0.2">
      <c r="A120" s="103"/>
      <c r="B120" s="23"/>
      <c r="C120" s="34"/>
      <c r="D120" s="34"/>
    </row>
    <row r="121" spans="1:4" ht="20" x14ac:dyDescent="0.2">
      <c r="A121" s="103"/>
      <c r="B121" s="23"/>
      <c r="C121" s="34"/>
      <c r="D121" s="34"/>
    </row>
    <row r="122" spans="1:4" ht="20" x14ac:dyDescent="0.2">
      <c r="A122" s="103"/>
      <c r="B122" s="23"/>
      <c r="C122" s="34"/>
      <c r="D122" s="34"/>
    </row>
    <row r="123" spans="1:4" ht="20" x14ac:dyDescent="0.2">
      <c r="A123" s="103"/>
      <c r="B123" s="23"/>
      <c r="C123" s="34"/>
      <c r="D123" s="34"/>
    </row>
    <row r="124" spans="1:4" ht="20" x14ac:dyDescent="0.2">
      <c r="A124" s="103"/>
      <c r="B124" s="23"/>
      <c r="C124" s="34"/>
      <c r="D124" s="34"/>
    </row>
    <row r="125" spans="1:4" ht="20" x14ac:dyDescent="0.2">
      <c r="A125" s="103"/>
      <c r="B125" s="23"/>
      <c r="C125" s="34"/>
      <c r="D125" s="34"/>
    </row>
    <row r="126" spans="1:4" ht="20" x14ac:dyDescent="0.2">
      <c r="A126" s="103"/>
      <c r="B126" s="23"/>
      <c r="C126" s="34"/>
      <c r="D126" s="34"/>
    </row>
    <row r="127" spans="1:4" ht="20" x14ac:dyDescent="0.2">
      <c r="A127" s="103"/>
      <c r="B127" s="23"/>
      <c r="C127" s="34"/>
      <c r="D127" s="34"/>
    </row>
    <row r="128" spans="1:4" ht="20" x14ac:dyDescent="0.2">
      <c r="A128" s="103"/>
      <c r="B128" s="23"/>
      <c r="C128" s="34"/>
      <c r="D128" s="34"/>
    </row>
    <row r="129" spans="1:4" ht="20" x14ac:dyDescent="0.2">
      <c r="A129" s="103"/>
      <c r="B129" s="23"/>
      <c r="C129" s="34"/>
      <c r="D129" s="34"/>
    </row>
    <row r="130" spans="1:4" ht="20" x14ac:dyDescent="0.2">
      <c r="A130" s="103"/>
      <c r="B130" s="23"/>
      <c r="C130" s="34"/>
      <c r="D130" s="34"/>
    </row>
    <row r="131" spans="1:4" ht="20" x14ac:dyDescent="0.2">
      <c r="A131" s="103"/>
      <c r="B131" s="23"/>
      <c r="C131" s="34"/>
      <c r="D131" s="34"/>
    </row>
    <row r="132" spans="1:4" ht="20" x14ac:dyDescent="0.2">
      <c r="A132" s="103"/>
      <c r="B132" s="23"/>
      <c r="C132" s="34"/>
      <c r="D132" s="34"/>
    </row>
    <row r="133" spans="1:4" ht="20" x14ac:dyDescent="0.2">
      <c r="A133" s="103"/>
      <c r="B133" s="23"/>
      <c r="C133" s="34"/>
      <c r="D133" s="34"/>
    </row>
    <row r="134" spans="1:4" ht="20" x14ac:dyDescent="0.2">
      <c r="A134" s="103"/>
      <c r="B134" s="23"/>
      <c r="C134" s="34"/>
      <c r="D134" s="34"/>
    </row>
    <row r="135" spans="1:4" ht="20" x14ac:dyDescent="0.2">
      <c r="A135" s="103"/>
      <c r="B135" s="23"/>
      <c r="C135" s="34"/>
      <c r="D135" s="34"/>
    </row>
    <row r="136" spans="1:4" ht="20" x14ac:dyDescent="0.2">
      <c r="A136" s="103"/>
      <c r="B136" s="23"/>
      <c r="C136" s="34"/>
      <c r="D136" s="34"/>
    </row>
    <row r="137" spans="1:4" ht="20" x14ac:dyDescent="0.2">
      <c r="A137" s="103"/>
      <c r="B137" s="23"/>
      <c r="C137" s="34"/>
      <c r="D137" s="34"/>
    </row>
    <row r="138" spans="1:4" ht="20" x14ac:dyDescent="0.2">
      <c r="A138" s="103"/>
      <c r="B138" s="23"/>
      <c r="C138" s="34"/>
      <c r="D138" s="34"/>
    </row>
    <row r="139" spans="1:4" ht="20" x14ac:dyDescent="0.2">
      <c r="A139" s="103"/>
      <c r="B139" s="23"/>
      <c r="C139" s="34"/>
      <c r="D139" s="34"/>
    </row>
    <row r="140" spans="1:4" ht="20" x14ac:dyDescent="0.2">
      <c r="A140" s="103"/>
      <c r="B140" s="23"/>
      <c r="C140" s="34"/>
      <c r="D140" s="34"/>
    </row>
    <row r="141" spans="1:4" ht="20" x14ac:dyDescent="0.2">
      <c r="A141" s="103"/>
      <c r="B141" s="23"/>
      <c r="C141" s="34"/>
      <c r="D141" s="34"/>
    </row>
    <row r="142" spans="1:4" ht="20" x14ac:dyDescent="0.2">
      <c r="A142" s="103"/>
      <c r="B142" s="23"/>
      <c r="C142" s="34"/>
      <c r="D142" s="34"/>
    </row>
    <row r="143" spans="1:4" ht="20" x14ac:dyDescent="0.2">
      <c r="A143" s="103"/>
      <c r="B143" s="23"/>
      <c r="C143" s="34"/>
      <c r="D143" s="34"/>
    </row>
    <row r="144" spans="1:4" ht="20" x14ac:dyDescent="0.2">
      <c r="A144" s="103"/>
      <c r="B144" s="23"/>
      <c r="C144" s="34"/>
      <c r="D144" s="34"/>
    </row>
    <row r="145" spans="1:4" ht="20" x14ac:dyDescent="0.2">
      <c r="A145" s="103"/>
      <c r="B145" s="23"/>
      <c r="C145" s="34"/>
      <c r="D145" s="34"/>
    </row>
    <row r="146" spans="1:4" ht="20" x14ac:dyDescent="0.2">
      <c r="A146" s="103"/>
      <c r="B146" s="23"/>
      <c r="C146" s="34"/>
      <c r="D146" s="34"/>
    </row>
    <row r="147" spans="1:4" ht="20" x14ac:dyDescent="0.2">
      <c r="A147" s="103"/>
      <c r="B147" s="23"/>
      <c r="C147" s="34"/>
      <c r="D147" s="34"/>
    </row>
    <row r="148" spans="1:4" ht="20" x14ac:dyDescent="0.2">
      <c r="A148" s="103"/>
      <c r="B148" s="23"/>
      <c r="C148" s="34"/>
      <c r="D148" s="34"/>
    </row>
    <row r="149" spans="1:4" ht="20" x14ac:dyDescent="0.2">
      <c r="A149" s="103"/>
      <c r="B149" s="23"/>
      <c r="C149" s="34"/>
      <c r="D149" s="34"/>
    </row>
    <row r="150" spans="1:4" ht="20" x14ac:dyDescent="0.2">
      <c r="A150" s="103"/>
      <c r="B150" s="23"/>
      <c r="C150" s="34"/>
      <c r="D150" s="34"/>
    </row>
    <row r="151" spans="1:4" ht="20" x14ac:dyDescent="0.2">
      <c r="A151" s="103"/>
      <c r="B151" s="23"/>
      <c r="C151" s="34"/>
      <c r="D151" s="34"/>
    </row>
    <row r="152" spans="1:4" ht="20" x14ac:dyDescent="0.2">
      <c r="A152" s="103"/>
      <c r="B152" s="23"/>
      <c r="C152" s="34"/>
      <c r="D152" s="34"/>
    </row>
    <row r="153" spans="1:4" ht="20" x14ac:dyDescent="0.2">
      <c r="A153" s="103"/>
      <c r="B153" s="23"/>
      <c r="C153" s="34"/>
      <c r="D153" s="34"/>
    </row>
    <row r="154" spans="1:4" ht="20" x14ac:dyDescent="0.2">
      <c r="A154" s="103"/>
      <c r="B154" s="23"/>
      <c r="C154" s="34"/>
      <c r="D154" s="34"/>
    </row>
    <row r="155" spans="1:4" ht="20" x14ac:dyDescent="0.2">
      <c r="A155" s="103"/>
      <c r="B155" s="23"/>
      <c r="C155" s="34"/>
      <c r="D155" s="34"/>
    </row>
    <row r="156" spans="1:4" ht="20" x14ac:dyDescent="0.2">
      <c r="A156" s="103"/>
      <c r="B156" s="23"/>
      <c r="C156" s="34"/>
      <c r="D156" s="34"/>
    </row>
    <row r="157" spans="1:4" ht="20" x14ac:dyDescent="0.2">
      <c r="A157" s="103"/>
      <c r="B157" s="23"/>
      <c r="C157" s="34"/>
      <c r="D157" s="34"/>
    </row>
    <row r="158" spans="1:4" ht="20" x14ac:dyDescent="0.2">
      <c r="A158" s="103"/>
      <c r="B158" s="23"/>
      <c r="C158" s="34"/>
      <c r="D158" s="34"/>
    </row>
    <row r="159" spans="1:4" ht="20" x14ac:dyDescent="0.2">
      <c r="A159" s="103"/>
      <c r="B159" s="23"/>
      <c r="C159" s="34"/>
      <c r="D159" s="34"/>
    </row>
    <row r="160" spans="1:4" ht="20" x14ac:dyDescent="0.2">
      <c r="A160" s="103"/>
      <c r="B160" s="23"/>
      <c r="C160" s="34"/>
      <c r="D160" s="34"/>
    </row>
    <row r="161" spans="1:4" ht="20" x14ac:dyDescent="0.2">
      <c r="A161" s="103"/>
      <c r="B161" s="23"/>
      <c r="C161" s="34"/>
      <c r="D161" s="34"/>
    </row>
    <row r="162" spans="1:4" ht="20" x14ac:dyDescent="0.2">
      <c r="A162" s="103"/>
      <c r="B162" s="23"/>
      <c r="C162" s="34"/>
      <c r="D162" s="34"/>
    </row>
    <row r="163" spans="1:4" ht="20" x14ac:dyDescent="0.2">
      <c r="A163" s="103"/>
      <c r="B163" s="23"/>
      <c r="C163" s="34"/>
      <c r="D163" s="34"/>
    </row>
    <row r="164" spans="1:4" ht="20" x14ac:dyDescent="0.2">
      <c r="A164" s="103"/>
      <c r="B164" s="23"/>
      <c r="C164" s="34"/>
      <c r="D164" s="34"/>
    </row>
    <row r="165" spans="1:4" ht="20" x14ac:dyDescent="0.2">
      <c r="A165" s="103"/>
      <c r="B165" s="23"/>
      <c r="C165" s="34"/>
      <c r="D165" s="34"/>
    </row>
    <row r="166" spans="1:4" ht="20" x14ac:dyDescent="0.2">
      <c r="A166" s="103"/>
      <c r="B166" s="23"/>
      <c r="C166" s="34"/>
      <c r="D166" s="34"/>
    </row>
    <row r="167" spans="1:4" ht="20" x14ac:dyDescent="0.2">
      <c r="A167" s="103"/>
      <c r="B167" s="23"/>
      <c r="C167" s="34"/>
      <c r="D167" s="34"/>
    </row>
    <row r="168" spans="1:4" ht="20" x14ac:dyDescent="0.2">
      <c r="A168" s="103"/>
      <c r="B168" s="23"/>
      <c r="C168" s="34"/>
      <c r="D168" s="34"/>
    </row>
    <row r="169" spans="1:4" ht="20" x14ac:dyDescent="0.2">
      <c r="A169" s="103"/>
      <c r="B169" s="23"/>
      <c r="C169" s="34"/>
      <c r="D169" s="34"/>
    </row>
    <row r="170" spans="1:4" ht="20" x14ac:dyDescent="0.2">
      <c r="A170" s="103"/>
      <c r="B170" s="23"/>
      <c r="C170" s="34"/>
      <c r="D170" s="34"/>
    </row>
    <row r="171" spans="1:4" ht="20" x14ac:dyDescent="0.2">
      <c r="A171" s="103"/>
      <c r="B171" s="23"/>
      <c r="C171" s="34"/>
      <c r="D171" s="34"/>
    </row>
    <row r="172" spans="1:4" ht="20" x14ac:dyDescent="0.2">
      <c r="A172" s="103"/>
      <c r="B172" s="23"/>
      <c r="C172" s="34"/>
      <c r="D172" s="34"/>
    </row>
    <row r="173" spans="1:4" ht="20" x14ac:dyDescent="0.2">
      <c r="A173" s="103"/>
      <c r="B173" s="23"/>
      <c r="C173" s="34"/>
      <c r="D173" s="34"/>
    </row>
    <row r="174" spans="1:4" ht="20" x14ac:dyDescent="0.2">
      <c r="A174" s="103"/>
      <c r="B174" s="23"/>
      <c r="C174" s="34"/>
      <c r="D174" s="34"/>
    </row>
    <row r="175" spans="1:4" ht="20" x14ac:dyDescent="0.2">
      <c r="A175" s="103"/>
      <c r="B175" s="23"/>
      <c r="C175" s="34"/>
      <c r="D175" s="34"/>
    </row>
    <row r="176" spans="1:4" ht="20" x14ac:dyDescent="0.2">
      <c r="A176" s="103"/>
      <c r="B176" s="23"/>
      <c r="C176" s="34"/>
      <c r="D176" s="34"/>
    </row>
    <row r="177" spans="1:4" ht="20" x14ac:dyDescent="0.2">
      <c r="A177" s="103"/>
      <c r="B177" s="23"/>
      <c r="C177" s="34"/>
      <c r="D177" s="34"/>
    </row>
    <row r="178" spans="1:4" ht="20" x14ac:dyDescent="0.2">
      <c r="A178" s="103"/>
      <c r="B178" s="23"/>
      <c r="C178" s="34"/>
      <c r="D178" s="34"/>
    </row>
    <row r="179" spans="1:4" ht="20" x14ac:dyDescent="0.2">
      <c r="A179" s="103"/>
      <c r="B179" s="23"/>
      <c r="C179" s="34"/>
      <c r="D179" s="34"/>
    </row>
    <row r="180" spans="1:4" ht="20" x14ac:dyDescent="0.2">
      <c r="A180" s="103"/>
      <c r="B180" s="23"/>
      <c r="C180" s="34"/>
      <c r="D180" s="34"/>
    </row>
    <row r="181" spans="1:4" ht="20" x14ac:dyDescent="0.2">
      <c r="A181" s="103"/>
      <c r="B181" s="23"/>
      <c r="C181" s="34"/>
      <c r="D181" s="34"/>
    </row>
    <row r="182" spans="1:4" ht="20" x14ac:dyDescent="0.2">
      <c r="A182" s="103"/>
      <c r="B182" s="23"/>
      <c r="C182" s="34"/>
      <c r="D182" s="34"/>
    </row>
    <row r="183" spans="1:4" ht="20" x14ac:dyDescent="0.2">
      <c r="A183" s="103"/>
      <c r="B183" s="23"/>
      <c r="C183" s="34"/>
      <c r="D183" s="34"/>
    </row>
    <row r="184" spans="1:4" ht="20" x14ac:dyDescent="0.2">
      <c r="A184" s="103"/>
      <c r="B184" s="23"/>
      <c r="C184" s="34"/>
      <c r="D184" s="34"/>
    </row>
    <row r="185" spans="1:4" ht="20" x14ac:dyDescent="0.2">
      <c r="A185" s="103"/>
      <c r="B185" s="23"/>
      <c r="C185" s="34"/>
      <c r="D185" s="34"/>
    </row>
    <row r="186" spans="1:4" ht="20" x14ac:dyDescent="0.2">
      <c r="A186" s="103"/>
      <c r="B186" s="23"/>
      <c r="C186" s="34"/>
      <c r="D186" s="34"/>
    </row>
    <row r="187" spans="1:4" ht="20" x14ac:dyDescent="0.2">
      <c r="A187" s="103"/>
      <c r="B187" s="23"/>
      <c r="C187" s="34"/>
      <c r="D187" s="34"/>
    </row>
    <row r="188" spans="1:4" ht="20" x14ac:dyDescent="0.2">
      <c r="A188" s="103"/>
      <c r="B188" s="23"/>
      <c r="C188" s="34"/>
      <c r="D188" s="34"/>
    </row>
    <row r="189" spans="1:4" ht="20" x14ac:dyDescent="0.2">
      <c r="A189" s="103"/>
      <c r="B189" s="23"/>
      <c r="C189" s="34"/>
      <c r="D189" s="34"/>
    </row>
    <row r="190" spans="1:4" ht="20" x14ac:dyDescent="0.2">
      <c r="A190" s="103"/>
      <c r="B190" s="23"/>
      <c r="C190" s="34"/>
      <c r="D190" s="34"/>
    </row>
    <row r="191" spans="1:4" ht="20" x14ac:dyDescent="0.2">
      <c r="A191" s="103"/>
      <c r="B191" s="23"/>
      <c r="C191" s="34"/>
      <c r="D191" s="34"/>
    </row>
    <row r="192" spans="1:4" ht="20" x14ac:dyDescent="0.2">
      <c r="A192" s="103"/>
      <c r="B192" s="23"/>
      <c r="C192" s="34"/>
      <c r="D192" s="34"/>
    </row>
    <row r="193" spans="1:4" ht="20" x14ac:dyDescent="0.2">
      <c r="A193" s="103"/>
      <c r="B193" s="23"/>
      <c r="C193" s="34"/>
      <c r="D193" s="34"/>
    </row>
    <row r="194" spans="1:4" ht="20" x14ac:dyDescent="0.2">
      <c r="A194" s="103"/>
      <c r="B194" s="23"/>
      <c r="C194" s="34"/>
      <c r="D194" s="34"/>
    </row>
    <row r="195" spans="1:4" ht="20" x14ac:dyDescent="0.2">
      <c r="A195" s="103"/>
      <c r="B195" s="23"/>
      <c r="C195" s="34"/>
      <c r="D195" s="34"/>
    </row>
    <row r="196" spans="1:4" ht="20" x14ac:dyDescent="0.2">
      <c r="A196" s="103"/>
      <c r="B196" s="23"/>
      <c r="C196" s="34"/>
      <c r="D196" s="34"/>
    </row>
    <row r="197" spans="1:4" ht="20" x14ac:dyDescent="0.2">
      <c r="A197" s="103"/>
      <c r="B197" s="23"/>
      <c r="C197" s="34"/>
      <c r="D197" s="34"/>
    </row>
    <row r="198" spans="1:4" ht="20" x14ac:dyDescent="0.2">
      <c r="A198" s="103"/>
      <c r="B198" s="23"/>
      <c r="C198" s="34"/>
      <c r="D198" s="34"/>
    </row>
    <row r="199" spans="1:4" ht="20" x14ac:dyDescent="0.2">
      <c r="A199" s="103"/>
      <c r="B199" s="23"/>
      <c r="C199" s="34"/>
      <c r="D199" s="34"/>
    </row>
    <row r="200" spans="1:4" ht="20" x14ac:dyDescent="0.2">
      <c r="A200" s="103"/>
      <c r="B200" s="23"/>
      <c r="C200" s="34"/>
      <c r="D200" s="34"/>
    </row>
    <row r="201" spans="1:4" ht="20" x14ac:dyDescent="0.2">
      <c r="A201" s="103"/>
      <c r="B201" s="23"/>
      <c r="C201" s="34"/>
      <c r="D201" s="34"/>
    </row>
    <row r="202" spans="1:4" ht="20" x14ac:dyDescent="0.2">
      <c r="A202" s="103"/>
      <c r="B202" s="23"/>
      <c r="C202" s="34"/>
      <c r="D202" s="34"/>
    </row>
    <row r="203" spans="1:4" ht="20" x14ac:dyDescent="0.2">
      <c r="A203" s="103"/>
      <c r="B203" s="23"/>
      <c r="C203" s="34"/>
      <c r="D203" s="34"/>
    </row>
    <row r="204" spans="1:4" ht="20" x14ac:dyDescent="0.2">
      <c r="A204" s="103"/>
      <c r="B204" s="23"/>
      <c r="C204" s="34"/>
      <c r="D204" s="34"/>
    </row>
    <row r="205" spans="1:4" ht="20" x14ac:dyDescent="0.2">
      <c r="A205" s="103"/>
      <c r="B205" s="23"/>
      <c r="C205" s="34"/>
      <c r="D205" s="34"/>
    </row>
    <row r="206" spans="1:4" ht="20" x14ac:dyDescent="0.2">
      <c r="A206" s="103"/>
      <c r="B206" s="23"/>
      <c r="C206" s="34"/>
      <c r="D206" s="34"/>
    </row>
    <row r="207" spans="1:4" ht="20" x14ac:dyDescent="0.2">
      <c r="A207" s="103"/>
      <c r="B207" s="23"/>
      <c r="C207" s="34"/>
      <c r="D207" s="34"/>
    </row>
    <row r="208" spans="1:4" x14ac:dyDescent="0.2">
      <c r="A208" s="83"/>
      <c r="B208" s="23"/>
      <c r="C208" s="23"/>
      <c r="D208" s="23"/>
    </row>
    <row r="209" spans="1:8" ht="20" x14ac:dyDescent="0.2">
      <c r="A209" s="83"/>
      <c r="B209" s="30" t="s">
        <v>86</v>
      </c>
      <c r="C209" s="30" t="s">
        <v>143</v>
      </c>
      <c r="D209" s="33" t="s">
        <v>86</v>
      </c>
      <c r="E209" s="33" t="s">
        <v>143</v>
      </c>
    </row>
    <row r="210" spans="1:8" ht="21" x14ac:dyDescent="0.25">
      <c r="A210" s="83"/>
      <c r="B210" s="31" t="s">
        <v>88</v>
      </c>
      <c r="C210" s="31" t="s">
        <v>56</v>
      </c>
      <c r="D210" t="s">
        <v>88</v>
      </c>
      <c r="F210" t="str">
        <f>IF(NOT(ISBLANK(D210)),D210,IF(NOT(ISBLANK(E210)),"     "&amp;E210,FALSE))</f>
        <v>Afectación Económica o presupuestal</v>
      </c>
      <c r="G210" t="s">
        <v>88</v>
      </c>
      <c r="H210" t="str">
        <f>IF(NOT(ISERROR(MATCH(G210,_xlfn.ANCHORARRAY(B221),0))),F223&amp;"Por favor no seleccionar los criterios de impacto",G210)</f>
        <v>❌Por favor no seleccionar los criterios de impacto</v>
      </c>
    </row>
    <row r="211" spans="1:8" ht="21" x14ac:dyDescent="0.25">
      <c r="A211" s="83"/>
      <c r="B211" s="31" t="s">
        <v>88</v>
      </c>
      <c r="C211" s="31" t="s">
        <v>91</v>
      </c>
      <c r="E211" t="s">
        <v>56</v>
      </c>
      <c r="F211" t="str">
        <f t="shared" ref="F211:F221" si="0">IF(NOT(ISBLANK(D211)),D211,IF(NOT(ISBLANK(E211)),"     "&amp;E211,FALSE))</f>
        <v xml:space="preserve">     Afectación menor a 10 SMLMV .</v>
      </c>
    </row>
    <row r="212" spans="1:8" ht="21" x14ac:dyDescent="0.25">
      <c r="A212" s="83"/>
      <c r="B212" s="31" t="s">
        <v>88</v>
      </c>
      <c r="C212" s="31" t="s">
        <v>92</v>
      </c>
      <c r="E212" t="s">
        <v>91</v>
      </c>
      <c r="F212" t="str">
        <f t="shared" si="0"/>
        <v xml:space="preserve">     Entre 10 y 50 SMLMV </v>
      </c>
    </row>
    <row r="213" spans="1:8" ht="21" x14ac:dyDescent="0.25">
      <c r="A213" s="83"/>
      <c r="B213" s="31" t="s">
        <v>88</v>
      </c>
      <c r="C213" s="31" t="s">
        <v>93</v>
      </c>
      <c r="E213" t="s">
        <v>92</v>
      </c>
      <c r="F213" t="str">
        <f t="shared" si="0"/>
        <v xml:space="preserve">     Entre 50 y 100 SMLMV </v>
      </c>
    </row>
    <row r="214" spans="1:8" ht="21" x14ac:dyDescent="0.25">
      <c r="A214" s="83"/>
      <c r="B214" s="31" t="s">
        <v>88</v>
      </c>
      <c r="C214" s="31" t="s">
        <v>94</v>
      </c>
      <c r="E214" t="s">
        <v>93</v>
      </c>
      <c r="F214" t="str">
        <f t="shared" si="0"/>
        <v xml:space="preserve">     Entre 100 y 500 SMLMV </v>
      </c>
    </row>
    <row r="215" spans="1:8" ht="21" x14ac:dyDescent="0.25">
      <c r="A215" s="83"/>
      <c r="B215" s="31" t="s">
        <v>55</v>
      </c>
      <c r="C215" s="31" t="s">
        <v>95</v>
      </c>
      <c r="E215" t="s">
        <v>94</v>
      </c>
      <c r="F215" t="str">
        <f t="shared" si="0"/>
        <v xml:space="preserve">     Mayor a 500 SMLMV </v>
      </c>
    </row>
    <row r="216" spans="1:8" ht="21" x14ac:dyDescent="0.25">
      <c r="A216" s="83"/>
      <c r="B216" s="31" t="s">
        <v>55</v>
      </c>
      <c r="C216" s="31" t="s">
        <v>96</v>
      </c>
      <c r="D216" t="s">
        <v>55</v>
      </c>
      <c r="F216" t="str">
        <f t="shared" si="0"/>
        <v>Pérdida Reputacional</v>
      </c>
    </row>
    <row r="217" spans="1:8" ht="21" x14ac:dyDescent="0.25">
      <c r="A217" s="83"/>
      <c r="B217" s="31" t="s">
        <v>55</v>
      </c>
      <c r="C217" s="31" t="s">
        <v>98</v>
      </c>
      <c r="E217" t="s">
        <v>95</v>
      </c>
      <c r="F217" t="str">
        <f t="shared" si="0"/>
        <v xml:space="preserve">     El riesgo afecta la imagen de alguna área de la organización</v>
      </c>
    </row>
    <row r="218" spans="1:8" ht="21" x14ac:dyDescent="0.25">
      <c r="A218" s="83"/>
      <c r="B218" s="31" t="s">
        <v>55</v>
      </c>
      <c r="C218" s="31" t="s">
        <v>97</v>
      </c>
      <c r="E218" t="s">
        <v>96</v>
      </c>
      <c r="F218" t="str">
        <f t="shared" si="0"/>
        <v xml:space="preserve">     El riesgo afecta la imagen de la entidad internamente, de conocimiento general, nivel interno, de junta dircetiva y accionistas y/o de provedores</v>
      </c>
    </row>
    <row r="219" spans="1:8" ht="21" x14ac:dyDescent="0.25">
      <c r="A219" s="83"/>
      <c r="B219" s="31" t="s">
        <v>55</v>
      </c>
      <c r="C219" s="31" t="s">
        <v>116</v>
      </c>
      <c r="E219" t="s">
        <v>98</v>
      </c>
      <c r="F219" t="str">
        <f t="shared" si="0"/>
        <v xml:space="preserve">     El riesgo afecta la imagen de la entidad con algunos usuarios de relevancia frente al logro de los objetivos</v>
      </c>
    </row>
    <row r="220" spans="1:8" x14ac:dyDescent="0.2">
      <c r="A220" s="83"/>
      <c r="B220" s="32"/>
      <c r="C220" s="32"/>
      <c r="E220" t="s">
        <v>97</v>
      </c>
      <c r="F220" t="str">
        <f t="shared" si="0"/>
        <v xml:space="preserve">     El riesgo afecta la imagen de de la entidad con efecto publicitario sostenido a nivel de sector administrativo, nivel departamental o municipal</v>
      </c>
    </row>
    <row r="221" spans="1:8" x14ac:dyDescent="0.2">
      <c r="A221" s="83"/>
      <c r="B221" s="32" t="str" cm="1">
        <f t="array" ref="B221:B223">_xlfn.UNIQUE(Tabla1[[#All],[Criterios]])</f>
        <v>Criterios</v>
      </c>
      <c r="C221" s="32"/>
      <c r="E221" t="s">
        <v>116</v>
      </c>
      <c r="F221" t="str">
        <f t="shared" si="0"/>
        <v xml:space="preserve">     El riesgo afecta la imagen de la entidad a nivel nacional, con efecto publicitarios sostenible a nivel país</v>
      </c>
    </row>
    <row r="222" spans="1:8" x14ac:dyDescent="0.2">
      <c r="A222" s="83"/>
      <c r="B222" s="32" t="str">
        <v>Afectación Económica o presupuestal</v>
      </c>
      <c r="C222" s="32"/>
    </row>
    <row r="223" spans="1:8" x14ac:dyDescent="0.2">
      <c r="B223" s="32" t="str">
        <v>Pérdida Reputacional</v>
      </c>
      <c r="C223" s="32"/>
      <c r="F223" s="35" t="s">
        <v>145</v>
      </c>
    </row>
    <row r="224" spans="1:8" x14ac:dyDescent="0.2">
      <c r="B224" s="22"/>
      <c r="C224" s="22"/>
      <c r="F224" s="35" t="s">
        <v>146</v>
      </c>
    </row>
    <row r="225" spans="2:4" x14ac:dyDescent="0.2">
      <c r="B225" s="22"/>
      <c r="C225" s="22"/>
    </row>
    <row r="226" spans="2:4" x14ac:dyDescent="0.2">
      <c r="B226" s="22"/>
      <c r="C226" s="22"/>
    </row>
    <row r="227" spans="2:4" x14ac:dyDescent="0.2">
      <c r="B227" s="22"/>
      <c r="C227" s="22"/>
      <c r="D227" s="22"/>
    </row>
    <row r="228" spans="2:4" x14ac:dyDescent="0.2">
      <c r="B228" s="22"/>
      <c r="C228" s="22"/>
      <c r="D228" s="22"/>
    </row>
    <row r="229" spans="2:4" x14ac:dyDescent="0.2">
      <c r="B229" s="22"/>
      <c r="C229" s="22"/>
      <c r="D229" s="22"/>
    </row>
    <row r="230" spans="2:4" x14ac:dyDescent="0.2">
      <c r="B230" s="22"/>
      <c r="C230" s="22"/>
      <c r="D230" s="22"/>
    </row>
    <row r="231" spans="2:4" x14ac:dyDescent="0.2">
      <c r="B231" s="22"/>
      <c r="C231" s="22"/>
      <c r="D231" s="22"/>
    </row>
    <row r="232" spans="2:4" x14ac:dyDescent="0.2">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8" workbookViewId="0">
      <selection activeCell="E10" sqref="E10"/>
    </sheetView>
  </sheetViews>
  <sheetFormatPr baseColWidth="10" defaultColWidth="14.33203125" defaultRowHeight="14" x14ac:dyDescent="0.2"/>
  <cols>
    <col min="1" max="2" width="14.33203125" style="88"/>
    <col min="3" max="3" width="17" style="88" customWidth="1"/>
    <col min="4" max="4" width="14.33203125" style="88"/>
    <col min="5" max="5" width="46" style="88" customWidth="1"/>
    <col min="6" max="16384" width="14.33203125" style="88"/>
  </cols>
  <sheetData>
    <row r="1" spans="2:6" ht="24" customHeight="1" thickBot="1" x14ac:dyDescent="0.25">
      <c r="B1" s="383" t="s">
        <v>76</v>
      </c>
      <c r="C1" s="384"/>
      <c r="D1" s="384"/>
      <c r="E1" s="384"/>
      <c r="F1" s="385"/>
    </row>
    <row r="2" spans="2:6" ht="17" thickBot="1" x14ac:dyDescent="0.25">
      <c r="B2" s="89"/>
      <c r="C2" s="89"/>
      <c r="D2" s="89"/>
      <c r="E2" s="89"/>
      <c r="F2" s="89"/>
    </row>
    <row r="3" spans="2:6" ht="18" thickBot="1" x14ac:dyDescent="0.25">
      <c r="B3" s="387" t="s">
        <v>62</v>
      </c>
      <c r="C3" s="388"/>
      <c r="D3" s="388"/>
      <c r="E3" s="101" t="s">
        <v>63</v>
      </c>
      <c r="F3" s="102" t="s">
        <v>64</v>
      </c>
    </row>
    <row r="4" spans="2:6" ht="34" x14ac:dyDescent="0.2">
      <c r="B4" s="389" t="s">
        <v>65</v>
      </c>
      <c r="C4" s="391" t="s">
        <v>11</v>
      </c>
      <c r="D4" s="90" t="s">
        <v>12</v>
      </c>
      <c r="E4" s="91" t="s">
        <v>66</v>
      </c>
      <c r="F4" s="92">
        <v>0.25</v>
      </c>
    </row>
    <row r="5" spans="2:6" ht="51" x14ac:dyDescent="0.2">
      <c r="B5" s="390"/>
      <c r="C5" s="392"/>
      <c r="D5" s="93" t="s">
        <v>13</v>
      </c>
      <c r="E5" s="94" t="s">
        <v>67</v>
      </c>
      <c r="F5" s="95">
        <v>0.15</v>
      </c>
    </row>
    <row r="6" spans="2:6" ht="34" x14ac:dyDescent="0.2">
      <c r="B6" s="390"/>
      <c r="C6" s="392"/>
      <c r="D6" s="93" t="s">
        <v>14</v>
      </c>
      <c r="E6" s="94" t="s">
        <v>68</v>
      </c>
      <c r="F6" s="95">
        <v>0.1</v>
      </c>
    </row>
    <row r="7" spans="2:6" ht="51" x14ac:dyDescent="0.2">
      <c r="B7" s="390"/>
      <c r="C7" s="392" t="s">
        <v>15</v>
      </c>
      <c r="D7" s="93" t="s">
        <v>9</v>
      </c>
      <c r="E7" s="94" t="s">
        <v>69</v>
      </c>
      <c r="F7" s="95">
        <v>0.25</v>
      </c>
    </row>
    <row r="8" spans="2:6" ht="34" x14ac:dyDescent="0.2">
      <c r="B8" s="390"/>
      <c r="C8" s="392"/>
      <c r="D8" s="93" t="s">
        <v>8</v>
      </c>
      <c r="E8" s="94" t="s">
        <v>70</v>
      </c>
      <c r="F8" s="95">
        <v>0.15</v>
      </c>
    </row>
    <row r="9" spans="2:6" ht="51" x14ac:dyDescent="0.2">
      <c r="B9" s="390" t="s">
        <v>160</v>
      </c>
      <c r="C9" s="392" t="s">
        <v>16</v>
      </c>
      <c r="D9" s="93" t="s">
        <v>17</v>
      </c>
      <c r="E9" s="94" t="s">
        <v>71</v>
      </c>
      <c r="F9" s="96" t="s">
        <v>72</v>
      </c>
    </row>
    <row r="10" spans="2:6" ht="51" x14ac:dyDescent="0.2">
      <c r="B10" s="390"/>
      <c r="C10" s="392"/>
      <c r="D10" s="93" t="s">
        <v>18</v>
      </c>
      <c r="E10" s="94" t="s">
        <v>73</v>
      </c>
      <c r="F10" s="96" t="s">
        <v>72</v>
      </c>
    </row>
    <row r="11" spans="2:6" ht="34" x14ac:dyDescent="0.2">
      <c r="B11" s="390"/>
      <c r="C11" s="392" t="s">
        <v>19</v>
      </c>
      <c r="D11" s="93" t="s">
        <v>20</v>
      </c>
      <c r="E11" s="94" t="s">
        <v>74</v>
      </c>
      <c r="F11" s="96" t="s">
        <v>72</v>
      </c>
    </row>
    <row r="12" spans="2:6" ht="34" x14ac:dyDescent="0.2">
      <c r="B12" s="390"/>
      <c r="C12" s="392"/>
      <c r="D12" s="93" t="s">
        <v>21</v>
      </c>
      <c r="E12" s="94" t="s">
        <v>75</v>
      </c>
      <c r="F12" s="96" t="s">
        <v>72</v>
      </c>
    </row>
    <row r="13" spans="2:6" ht="34" x14ac:dyDescent="0.2">
      <c r="B13" s="390"/>
      <c r="C13" s="392" t="s">
        <v>22</v>
      </c>
      <c r="D13" s="93" t="s">
        <v>117</v>
      </c>
      <c r="E13" s="94" t="s">
        <v>120</v>
      </c>
      <c r="F13" s="96" t="s">
        <v>72</v>
      </c>
    </row>
    <row r="14" spans="2:6" ht="18" thickBot="1" x14ac:dyDescent="0.25">
      <c r="B14" s="393"/>
      <c r="C14" s="394"/>
      <c r="D14" s="97" t="s">
        <v>118</v>
      </c>
      <c r="E14" s="98" t="s">
        <v>119</v>
      </c>
      <c r="F14" s="99" t="s">
        <v>72</v>
      </c>
    </row>
    <row r="15" spans="2:6" ht="49.5" customHeight="1" x14ac:dyDescent="0.2">
      <c r="B15" s="386" t="s">
        <v>157</v>
      </c>
      <c r="C15" s="386"/>
      <c r="D15" s="386"/>
      <c r="E15" s="386"/>
      <c r="F15" s="386"/>
    </row>
    <row r="16" spans="2:6" ht="27" customHeight="1" x14ac:dyDescent="0.2">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5" x14ac:dyDescent="0.2"/>
  <sheetData>
    <row r="2" spans="2:5" x14ac:dyDescent="0.2">
      <c r="B2" t="s">
        <v>29</v>
      </c>
      <c r="E2" t="s">
        <v>131</v>
      </c>
    </row>
    <row r="3" spans="2:5" x14ac:dyDescent="0.2">
      <c r="B3" t="s">
        <v>30</v>
      </c>
      <c r="E3" t="s">
        <v>130</v>
      </c>
    </row>
    <row r="4" spans="2:5" x14ac:dyDescent="0.2">
      <c r="B4" t="s">
        <v>135</v>
      </c>
      <c r="E4" t="s">
        <v>132</v>
      </c>
    </row>
    <row r="5" spans="2:5" x14ac:dyDescent="0.2">
      <c r="B5" t="s">
        <v>134</v>
      </c>
    </row>
    <row r="8" spans="2:5" x14ac:dyDescent="0.2">
      <c r="B8" t="s">
        <v>84</v>
      </c>
    </row>
    <row r="9" spans="2:5" x14ac:dyDescent="0.2">
      <c r="B9" t="s">
        <v>38</v>
      </c>
    </row>
    <row r="10" spans="2:5" x14ac:dyDescent="0.2">
      <c r="B10" t="s">
        <v>39</v>
      </c>
    </row>
    <row r="13" spans="2:5" x14ac:dyDescent="0.2">
      <c r="B13" t="s">
        <v>127</v>
      </c>
    </row>
    <row r="14" spans="2:5" x14ac:dyDescent="0.2">
      <c r="B14" t="s">
        <v>121</v>
      </c>
    </row>
    <row r="15" spans="2:5" x14ac:dyDescent="0.2">
      <c r="B15" t="s">
        <v>124</v>
      </c>
    </row>
    <row r="16" spans="2:5" x14ac:dyDescent="0.2">
      <c r="B16" t="s">
        <v>122</v>
      </c>
    </row>
    <row r="17" spans="2:2" x14ac:dyDescent="0.2">
      <c r="B17" t="s">
        <v>123</v>
      </c>
    </row>
    <row r="18" spans="2:2" x14ac:dyDescent="0.2">
      <c r="B18" t="s">
        <v>125</v>
      </c>
    </row>
    <row r="19" spans="2:2" x14ac:dyDescent="0.2">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5" defaultRowHeight="14" x14ac:dyDescent="0.2"/>
  <cols>
    <col min="1" max="1" width="32.6640625" style="9" customWidth="1"/>
    <col min="2" max="16384" width="11.5" style="9"/>
  </cols>
  <sheetData>
    <row r="3" spans="1:1" x14ac:dyDescent="0.2">
      <c r="A3" s="10" t="s">
        <v>12</v>
      </c>
    </row>
    <row r="4" spans="1:1" x14ac:dyDescent="0.2">
      <c r="A4" s="10" t="s">
        <v>13</v>
      </c>
    </row>
    <row r="5" spans="1:1" x14ac:dyDescent="0.2">
      <c r="A5" s="10" t="s">
        <v>14</v>
      </c>
    </row>
    <row r="6" spans="1:1" x14ac:dyDescent="0.2">
      <c r="A6" s="10" t="s">
        <v>9</v>
      </c>
    </row>
    <row r="7" spans="1:1" x14ac:dyDescent="0.2">
      <c r="A7" s="10" t="s">
        <v>8</v>
      </c>
    </row>
    <row r="8" spans="1:1" x14ac:dyDescent="0.2">
      <c r="A8" s="10" t="s">
        <v>17</v>
      </c>
    </row>
    <row r="9" spans="1:1" x14ac:dyDescent="0.2">
      <c r="A9" s="10" t="s">
        <v>18</v>
      </c>
    </row>
    <row r="10" spans="1:1" x14ac:dyDescent="0.2">
      <c r="A10" s="10" t="s">
        <v>20</v>
      </c>
    </row>
    <row r="11" spans="1:1" x14ac:dyDescent="0.2">
      <c r="A11" s="10" t="s">
        <v>21</v>
      </c>
    </row>
    <row r="12" spans="1:1" x14ac:dyDescent="0.2">
      <c r="A12" s="10" t="s">
        <v>23</v>
      </c>
    </row>
    <row r="13" spans="1:1" x14ac:dyDescent="0.2">
      <c r="A13" s="10" t="s">
        <v>24</v>
      </c>
    </row>
    <row r="14" spans="1:1" x14ac:dyDescent="0.2">
      <c r="A14" s="10" t="s">
        <v>25</v>
      </c>
    </row>
    <row r="16" spans="1:1" x14ac:dyDescent="0.2">
      <c r="A16" s="10" t="s">
        <v>28</v>
      </c>
    </row>
    <row r="17" spans="1:1" x14ac:dyDescent="0.2">
      <c r="A17" s="10" t="s">
        <v>29</v>
      </c>
    </row>
    <row r="18" spans="1:1" x14ac:dyDescent="0.2">
      <c r="A18" s="10" t="s">
        <v>30</v>
      </c>
    </row>
    <row r="20" spans="1:1" x14ac:dyDescent="0.2">
      <c r="A20" s="10" t="s">
        <v>38</v>
      </c>
    </row>
    <row r="21" spans="1:1" x14ac:dyDescent="0.2">
      <c r="A21" s="10"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0ADF311D0B984A866D243FB9FC1EAB" ma:contentTypeVersion="5" ma:contentTypeDescription="Crear nuevo documento." ma:contentTypeScope="" ma:versionID="561a5f2ce90dc4f7647a0b02b7b4e860">
  <xsd:schema xmlns:xsd="http://www.w3.org/2001/XMLSchema" xmlns:xs="http://www.w3.org/2001/XMLSchema" xmlns:p="http://schemas.microsoft.com/office/2006/metadata/properties" xmlns:ns3="f3c919fd-56c7-4e78-8581-2ff525e66f77" xmlns:ns4="ced27bc2-1826-4cae-b782-85d7e1a9c437" targetNamespace="http://schemas.microsoft.com/office/2006/metadata/properties" ma:root="true" ma:fieldsID="b2ef899e2048f105d55ef02ba1a8d569" ns3:_="" ns4:_="">
    <xsd:import namespace="f3c919fd-56c7-4e78-8581-2ff525e66f77"/>
    <xsd:import namespace="ced27bc2-1826-4cae-b782-85d7e1a9c4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19fd-56c7-4e78-8581-2ff525e66f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d27bc2-1826-4cae-b782-85d7e1a9c4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51D488-4A82-4C18-BD63-C70AA277EE79}">
  <ds:schemaRefs>
    <ds:schemaRef ds:uri="http://schemas.microsoft.com/sharepoint/v3/contenttype/forms"/>
  </ds:schemaRefs>
</ds:datastoreItem>
</file>

<file path=customXml/itemProps2.xml><?xml version="1.0" encoding="utf-8"?>
<ds:datastoreItem xmlns:ds="http://schemas.openxmlformats.org/officeDocument/2006/customXml" ds:itemID="{C27B63F3-C0E0-4C2E-896B-D79486BC2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919fd-56c7-4e78-8581-2ff525e66f77"/>
    <ds:schemaRef ds:uri="ced27bc2-1826-4cae-b782-85d7e1a9c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6F9B4-CD00-40E2-8C6D-982A62115546}">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elements/1.1/"/>
    <ds:schemaRef ds:uri="f3c919fd-56c7-4e78-8581-2ff525e66f77"/>
    <ds:schemaRef ds:uri="http://schemas.openxmlformats.org/package/2006/metadata/core-properties"/>
    <ds:schemaRef ds:uri="ced27bc2-1826-4cae-b782-85d7e1a9c43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Microsoft Office User</cp:lastModifiedBy>
  <cp:lastPrinted>2020-05-13T01:12:22Z</cp:lastPrinted>
  <dcterms:created xsi:type="dcterms:W3CDTF">2020-03-24T23:12:47Z</dcterms:created>
  <dcterms:modified xsi:type="dcterms:W3CDTF">2024-02-08T22:53:34Z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0x010100970ADF311D0B984A866D243FB9FC1EAB</vt:lpwstr>
  </property>
</Properties>
</file>